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86BD03D8-B9F7-48E0-B0CA-F04282815F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reak-Even Point Analysi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6" l="1"/>
  <c r="F30" i="6"/>
  <c r="F26" i="6"/>
  <c r="E14" i="6"/>
  <c r="E15" i="6" s="1"/>
  <c r="E16" i="6" s="1"/>
  <c r="E17" i="6" s="1"/>
  <c r="E18" i="6" s="1"/>
  <c r="E19" i="6" s="1"/>
  <c r="E20" i="6" s="1"/>
  <c r="E21" i="6" s="1"/>
  <c r="E22" i="6" s="1"/>
  <c r="E23" i="6" s="1"/>
  <c r="E13" i="6"/>
  <c r="M4" i="6"/>
  <c r="N4" i="6" s="1"/>
  <c r="Q20" i="6"/>
  <c r="R20" i="6"/>
  <c r="S20" i="6"/>
  <c r="Q13" i="6"/>
  <c r="R13" i="6"/>
  <c r="S13" i="6"/>
  <c r="Q14" i="6"/>
  <c r="R14" i="6"/>
  <c r="S14" i="6"/>
  <c r="Q15" i="6"/>
  <c r="R15" i="6"/>
  <c r="S15" i="6"/>
  <c r="Q16" i="6"/>
  <c r="R16" i="6"/>
  <c r="S16" i="6"/>
  <c r="Q17" i="6"/>
  <c r="R17" i="6"/>
  <c r="S17" i="6"/>
  <c r="Q18" i="6"/>
  <c r="R18" i="6"/>
  <c r="S18" i="6"/>
  <c r="Q19" i="6"/>
  <c r="R19" i="6"/>
  <c r="S19" i="6"/>
  <c r="Q21" i="6"/>
  <c r="R21" i="6"/>
  <c r="S21" i="6"/>
  <c r="Q22" i="6"/>
  <c r="R22" i="6"/>
  <c r="S22" i="6"/>
  <c r="Q23" i="6"/>
  <c r="R23" i="6"/>
  <c r="S23" i="6"/>
  <c r="Q24" i="6"/>
  <c r="R24" i="6"/>
  <c r="S24" i="6"/>
  <c r="Q25" i="6"/>
  <c r="R25" i="6"/>
  <c r="S25" i="6"/>
  <c r="Q12" i="6"/>
  <c r="G35" i="6" l="1"/>
  <c r="R12" i="6" l="1"/>
  <c r="S12" i="6"/>
  <c r="E5" i="6"/>
  <c r="E6" i="6" s="1"/>
  <c r="M6" i="6" s="1"/>
  <c r="A43" i="6"/>
  <c r="E7" i="6" l="1"/>
  <c r="E8" i="6" s="1"/>
  <c r="E9" i="6" l="1"/>
  <c r="E10" i="6" s="1"/>
  <c r="M10" i="6" s="1"/>
  <c r="E11" i="6" l="1"/>
  <c r="E12" i="6" s="1"/>
  <c r="M13" i="6" s="1"/>
  <c r="N13" i="6" s="1"/>
  <c r="A44" i="6"/>
  <c r="A45" i="6" s="1"/>
  <c r="A46" i="6" s="1"/>
  <c r="A47" i="6" s="1"/>
  <c r="A48" i="6" s="1"/>
  <c r="A49" i="6" s="1"/>
  <c r="A50" i="6" s="1"/>
  <c r="A51" i="6" s="1"/>
  <c r="A52" i="6" s="1"/>
  <c r="Q11" i="6"/>
  <c r="H26" i="6"/>
  <c r="G34" i="6"/>
  <c r="M5" i="6"/>
  <c r="M7" i="6"/>
  <c r="M8" i="6"/>
  <c r="M9" i="6"/>
  <c r="Q4" i="6"/>
  <c r="G26" i="6"/>
  <c r="R5" i="6"/>
  <c r="R4" i="6"/>
  <c r="S5" i="6"/>
  <c r="S6" i="6"/>
  <c r="S7" i="6"/>
  <c r="S8" i="6"/>
  <c r="S9" i="6"/>
  <c r="S10" i="6"/>
  <c r="S11" i="6"/>
  <c r="S4" i="6"/>
  <c r="S3" i="6" l="1"/>
  <c r="M11" i="6"/>
  <c r="E24" i="6"/>
  <c r="M12" i="6"/>
  <c r="N12" i="6" s="1"/>
  <c r="M23" i="6" l="1"/>
  <c r="N23" i="6" s="1"/>
  <c r="E25" i="6"/>
  <c r="M25" i="6" s="1"/>
  <c r="N25" i="6" s="1"/>
  <c r="M24" i="6"/>
  <c r="N24" i="6" s="1"/>
  <c r="G33" i="6" l="1"/>
  <c r="G32" i="6"/>
  <c r="G31" i="6"/>
  <c r="G30" i="6"/>
  <c r="G29" i="6"/>
  <c r="G36" i="6" l="1"/>
  <c r="B45" i="6" s="1"/>
  <c r="B50" i="6" l="1"/>
  <c r="B52" i="6"/>
  <c r="B49" i="6"/>
  <c r="B44" i="6"/>
  <c r="B48" i="6"/>
  <c r="B42" i="6"/>
  <c r="B47" i="6"/>
  <c r="B46" i="6"/>
  <c r="B51" i="6"/>
  <c r="B43" i="6"/>
  <c r="R6" i="6"/>
  <c r="R7" i="6"/>
  <c r="R8" i="6"/>
  <c r="R9" i="6"/>
  <c r="R10" i="6"/>
  <c r="R11" i="6"/>
  <c r="Q5" i="6"/>
  <c r="Q6" i="6"/>
  <c r="Q7" i="6"/>
  <c r="Q8" i="6"/>
  <c r="Q9" i="6"/>
  <c r="Q10" i="6"/>
  <c r="I4" i="6" l="1" a="1"/>
  <c r="I4" i="6" s="1"/>
  <c r="O4" i="6" s="1"/>
  <c r="Q3" i="6"/>
  <c r="R3" i="6"/>
  <c r="O23" i="6" l="1"/>
  <c r="O5" i="6"/>
  <c r="O24" i="6"/>
  <c r="O25" i="6"/>
  <c r="P25" i="6"/>
  <c r="P12" i="6"/>
  <c r="P24" i="6"/>
  <c r="O11" i="6"/>
  <c r="O7" i="6"/>
  <c r="O10" i="6"/>
  <c r="O6" i="6"/>
  <c r="O12" i="6"/>
  <c r="P13" i="6"/>
  <c r="O8" i="6"/>
  <c r="P23" i="6"/>
  <c r="O9" i="6"/>
  <c r="O13" i="6"/>
  <c r="P4" i="6"/>
  <c r="O26" i="6" l="1"/>
  <c r="E52" i="6" s="1"/>
  <c r="E47" i="6" l="1"/>
  <c r="E46" i="6"/>
  <c r="E51" i="6"/>
  <c r="E45" i="6"/>
  <c r="E42" i="6"/>
  <c r="E43" i="6"/>
  <c r="E50" i="6"/>
  <c r="E44" i="6"/>
  <c r="E48" i="6"/>
  <c r="E49" i="6"/>
  <c r="N8" i="6"/>
  <c r="P8" i="6"/>
  <c r="N7" i="6"/>
  <c r="P7" i="6"/>
  <c r="N10" i="6"/>
  <c r="P10" i="6"/>
  <c r="N9" i="6"/>
  <c r="P9" i="6"/>
  <c r="N6" i="6"/>
  <c r="P6" i="6"/>
  <c r="N5" i="6"/>
  <c r="P5" i="6"/>
  <c r="N11" i="6"/>
  <c r="P11" i="6"/>
  <c r="N26" i="6" l="1" a="1"/>
  <c r="N26" i="6" s="1"/>
  <c r="C56" i="6" s="1"/>
  <c r="P26" i="6"/>
  <c r="AB26" i="6" s="1"/>
  <c r="K23" i="6" l="1"/>
  <c r="J23" i="6" s="1"/>
  <c r="K24" i="6"/>
  <c r="J24" i="6" s="1"/>
  <c r="K13" i="6"/>
  <c r="J13" i="6" s="1"/>
  <c r="K25" i="6"/>
  <c r="J25" i="6" s="1"/>
  <c r="C45" i="6"/>
  <c r="D45" i="6" s="1"/>
  <c r="F45" i="6" s="1"/>
  <c r="C48" i="6"/>
  <c r="D48" i="6" s="1"/>
  <c r="F48" i="6" s="1"/>
  <c r="C52" i="6"/>
  <c r="D52" i="6" s="1"/>
  <c r="F52" i="6" s="1"/>
  <c r="C50" i="6"/>
  <c r="D50" i="6" s="1"/>
  <c r="F50" i="6" s="1"/>
  <c r="C42" i="6"/>
  <c r="D42" i="6" s="1"/>
  <c r="F42" i="6" s="1"/>
  <c r="C43" i="6"/>
  <c r="D43" i="6" s="1"/>
  <c r="F43" i="6" s="1"/>
  <c r="C47" i="6"/>
  <c r="D47" i="6" s="1"/>
  <c r="F47" i="6" s="1"/>
  <c r="C46" i="6"/>
  <c r="D46" i="6" s="1"/>
  <c r="F46" i="6" s="1"/>
  <c r="C44" i="6"/>
  <c r="D44" i="6" s="1"/>
  <c r="F44" i="6" s="1"/>
  <c r="C49" i="6"/>
  <c r="D49" i="6" s="1"/>
  <c r="F49" i="6" s="1"/>
  <c r="C51" i="6"/>
  <c r="D51" i="6" s="1"/>
  <c r="F51" i="6" s="1"/>
  <c r="K12" i="6"/>
  <c r="J12" i="6" s="1"/>
  <c r="K8" i="6" l="1"/>
  <c r="J8" i="6" s="1"/>
  <c r="K10" i="6"/>
  <c r="J10" i="6" s="1"/>
  <c r="K7" i="6"/>
  <c r="J7" i="6" s="1"/>
  <c r="K9" i="6"/>
  <c r="J9" i="6" s="1"/>
  <c r="K6" i="6"/>
  <c r="J6" i="6" s="1"/>
  <c r="K11" i="6"/>
  <c r="J11" i="6" s="1"/>
  <c r="K4" i="6"/>
  <c r="K5" i="6"/>
  <c r="J5" i="6" s="1"/>
  <c r="C55" i="6" l="1"/>
  <c r="L23" i="6" s="1"/>
  <c r="J4" i="6"/>
  <c r="J26" i="6" s="1"/>
  <c r="K26" i="6"/>
  <c r="L24" i="6" l="1"/>
  <c r="L13" i="6"/>
  <c r="L25" i="6"/>
  <c r="L4" i="6"/>
  <c r="L12" i="6"/>
  <c r="L9" i="6"/>
  <c r="L10" i="6"/>
  <c r="L7" i="6"/>
  <c r="L8" i="6"/>
  <c r="L11" i="6"/>
  <c r="L6" i="6"/>
  <c r="L5" i="6"/>
  <c r="L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<sst xmlns="http://schemas.openxmlformats.org/spreadsheetml/2006/main" count="56" uniqueCount="53">
  <si>
    <t>ԸՆԴԱՄԵՆԸ</t>
  </si>
  <si>
    <t>Արտադրական տարածքի վարձակալում</t>
  </si>
  <si>
    <t>Ապրանք</t>
  </si>
  <si>
    <t>Փոփոխ. Ծախս</t>
  </si>
  <si>
    <t>Մարժա</t>
  </si>
  <si>
    <t>Ժինգյալով հաց</t>
  </si>
  <si>
    <t>Հումք</t>
  </si>
  <si>
    <t>Հաստատուն ծախսեր</t>
  </si>
  <si>
    <t>Ծախս</t>
  </si>
  <si>
    <t>ծախս</t>
  </si>
  <si>
    <t>Գումար</t>
  </si>
  <si>
    <t>Գին</t>
  </si>
  <si>
    <t>Գույքի ամորտիզացիա</t>
  </si>
  <si>
    <t>Միջինը ըստ կշռի</t>
  </si>
  <si>
    <t>ՇՇ նվազագույն վաճառք</t>
  </si>
  <si>
    <t>գումար (ամս)</t>
  </si>
  <si>
    <t>հատ (ամս)</t>
  </si>
  <si>
    <t>հատ (օր)</t>
  </si>
  <si>
    <t>վատ</t>
  </si>
  <si>
    <t>լավ</t>
  </si>
  <si>
    <t>միջ</t>
  </si>
  <si>
    <t>Միավոր</t>
  </si>
  <si>
    <t>Հաստատուն</t>
  </si>
  <si>
    <t>Փոփոխ</t>
  </si>
  <si>
    <t>Ծասխեր</t>
  </si>
  <si>
    <t>ինտերվալ</t>
  </si>
  <si>
    <t>Շահույթ</t>
  </si>
  <si>
    <t>Ընտրել ↓</t>
  </si>
  <si>
    <t>Կարելի է լրացնել միայն բաց գունավոր դաշտերը</t>
  </si>
  <si>
    <t>Վաճառք</t>
  </si>
  <si>
    <r>
      <rPr>
        <b/>
        <sz val="11"/>
        <color theme="4" tint="-0.499984740745262"/>
        <rFont val="Calibri"/>
        <family val="2"/>
        <scheme val="minor"/>
      </rPr>
      <t>ՇՇ</t>
    </r>
    <r>
      <rPr>
        <sz val="11"/>
        <color theme="4" tint="-0.499984740745262"/>
        <rFont val="Calibri"/>
        <family val="2"/>
        <scheme val="minor"/>
      </rPr>
      <t xml:space="preserve"> - Վաճառք</t>
    </r>
  </si>
  <si>
    <t>Կոմունալ ծախսեր/էլ.էներգիա, ջուր, գազ</t>
  </si>
  <si>
    <t>Արտադրամասի ղեկավար / վաճառող</t>
  </si>
  <si>
    <t>Հացագործ-Հրուշակագործ</t>
  </si>
  <si>
    <t>Տրանսպորտ</t>
  </si>
  <si>
    <t>Գովազդ</t>
  </si>
  <si>
    <t>Քարի մատնաքաշ</t>
  </si>
  <si>
    <t>քանակ</t>
  </si>
  <si>
    <t>Օրական վաճ %</t>
  </si>
  <si>
    <t>Միջին մարժա</t>
  </si>
  <si>
    <t>գազ, էլ, տրանսպ %</t>
  </si>
  <si>
    <t>Կարկանդակ (կարտոֆ)</t>
  </si>
  <si>
    <t>Կարկանդակ (կաղամբ)</t>
  </si>
  <si>
    <t>Կարկանդակ (հավով)</t>
  </si>
  <si>
    <t>Կաթնաշոռիկ</t>
  </si>
  <si>
    <t>Հաց Սևանի փոքր</t>
  </si>
  <si>
    <t>Հաց Սևանի մեծ</t>
  </si>
  <si>
    <t>Գաթա Նազուկ</t>
  </si>
  <si>
    <t>Արցախի գաթա</t>
  </si>
  <si>
    <t>Օրական վաճառք &gt; &gt;&gt;&gt;</t>
  </si>
  <si>
    <t>Ամսական աշխ օրեր  &gt;</t>
  </si>
  <si>
    <r>
      <t xml:space="preserve">Շահութաբերության Շեմ (ՇՇ) </t>
    </r>
    <r>
      <rPr>
        <sz val="16"/>
        <color theme="1"/>
        <rFont val="Calibri"/>
        <family val="2"/>
        <scheme val="minor"/>
      </rPr>
      <t>- 1-ամսյա հաշվարկ</t>
    </r>
  </si>
  <si>
    <t>© Արմեն Բեժանյան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</si>
</sst>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_-;\-* #,##0.0_-;_-* &quot;-&quot;??_-;_-@_-"/>
    <numFmt numFmtId="167" formatCode="0.0%"/>
    <numFmt numFmtId="168" formatCode="\֏\ 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3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 applyAlignment="1" applyProtection="1">
      <alignment vertical="top"/>
    </xf>
    <xf numFmtId="0" fontId="3" fillId="3" borderId="6" xfId="0" applyFont="1" applyFill="1" applyBorder="1" applyAlignment="1" applyProtection="1">
      <alignment horizontal="center" vertical="center" wrapText="1"/>
    </xf>
    <xf numFmtId="166" fontId="3" fillId="3" borderId="6" xfId="4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top"/>
    </xf>
    <xf numFmtId="166" fontId="0" fillId="0" borderId="0" xfId="4" applyNumberFormat="1" applyFont="1" applyBorder="1" applyAlignment="1" applyProtection="1">
      <alignment vertical="top"/>
    </xf>
    <xf numFmtId="167" fontId="9" fillId="5" borderId="1" xfId="5" applyNumberFormat="1" applyFont="1" applyFill="1" applyBorder="1" applyAlignment="1" applyProtection="1">
      <alignment horizontal="center" vertical="top"/>
      <protection locked="0"/>
    </xf>
    <xf numFmtId="1" fontId="9" fillId="0" borderId="1" xfId="4" applyNumberFormat="1" applyFont="1" applyBorder="1" applyAlignment="1" applyProtection="1">
      <alignment horizontal="center" vertical="top"/>
    </xf>
    <xf numFmtId="167" fontId="9" fillId="0" borderId="1" xfId="5" applyNumberFormat="1" applyFont="1" applyFill="1" applyBorder="1" applyAlignment="1" applyProtection="1">
      <alignment horizontal="center" vertical="top"/>
    </xf>
    <xf numFmtId="165" fontId="9" fillId="0" borderId="1" xfId="4" applyNumberFormat="1" applyFont="1" applyBorder="1" applyAlignment="1" applyProtection="1">
      <alignment vertical="top"/>
    </xf>
    <xf numFmtId="1" fontId="10" fillId="5" borderId="0" xfId="0" applyNumberFormat="1" applyFont="1" applyFill="1" applyBorder="1" applyAlignment="1" applyProtection="1">
      <alignment horizontal="center" vertical="center"/>
      <protection locked="0"/>
    </xf>
    <xf numFmtId="9" fontId="9" fillId="0" borderId="0" xfId="5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9" fillId="0" borderId="1" xfId="4" applyNumberFormat="1" applyFont="1" applyBorder="1" applyAlignment="1" applyProtection="1">
      <alignment vertical="top"/>
    </xf>
    <xf numFmtId="165" fontId="9" fillId="5" borderId="1" xfId="4" applyNumberFormat="1" applyFont="1" applyFill="1" applyBorder="1" applyAlignment="1" applyProtection="1">
      <alignment horizontal="center" vertical="top"/>
      <protection locked="0"/>
    </xf>
    <xf numFmtId="165" fontId="9" fillId="5" borderId="1" xfId="0" applyNumberFormat="1" applyFont="1" applyFill="1" applyBorder="1" applyAlignment="1" applyProtection="1">
      <alignment vertical="top"/>
      <protection locked="0"/>
    </xf>
    <xf numFmtId="165" fontId="9" fillId="5" borderId="1" xfId="4" applyNumberFormat="1" applyFont="1" applyFill="1" applyBorder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top"/>
      <protection locked="0"/>
    </xf>
    <xf numFmtId="165" fontId="15" fillId="0" borderId="1" xfId="4" applyNumberFormat="1" applyFont="1" applyBorder="1" applyAlignment="1" applyProtection="1">
      <alignment vertical="top"/>
    </xf>
    <xf numFmtId="165" fontId="15" fillId="0" borderId="1" xfId="0" applyNumberFormat="1" applyFont="1" applyBorder="1" applyAlignment="1" applyProtection="1">
      <alignment vertical="top"/>
    </xf>
    <xf numFmtId="168" fontId="15" fillId="0" borderId="1" xfId="0" applyNumberFormat="1" applyFont="1" applyBorder="1" applyAlignment="1" applyProtection="1">
      <alignment horizontal="right" vertical="top"/>
    </xf>
    <xf numFmtId="0" fontId="16" fillId="3" borderId="6" xfId="0" applyFont="1" applyFill="1" applyBorder="1" applyAlignment="1" applyProtection="1">
      <alignment horizontal="center" vertical="center" wrapText="1"/>
    </xf>
    <xf numFmtId="168" fontId="15" fillId="0" borderId="1" xfId="0" applyNumberFormat="1" applyFont="1" applyBorder="1" applyAlignment="1" applyProtection="1">
      <alignment horizontal="center" vertical="top"/>
    </xf>
    <xf numFmtId="165" fontId="15" fillId="0" borderId="1" xfId="4" applyNumberFormat="1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vertical="top"/>
    </xf>
    <xf numFmtId="1" fontId="9" fillId="0" borderId="3" xfId="4" applyNumberFormat="1" applyFont="1" applyBorder="1" applyAlignment="1" applyProtection="1">
      <alignment horizontal="center" vertical="top"/>
    </xf>
    <xf numFmtId="165" fontId="21" fillId="0" borderId="0" xfId="0" applyNumberFormat="1" applyFont="1" applyBorder="1" applyAlignment="1" applyProtection="1">
      <alignment vertical="top"/>
    </xf>
    <xf numFmtId="166" fontId="23" fillId="3" borderId="6" xfId="4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7" fontId="9" fillId="0" borderId="1" xfId="5" applyNumberFormat="1" applyFont="1" applyFill="1" applyBorder="1" applyAlignment="1" applyProtection="1">
      <alignment horizontal="center" vertical="center" wrapText="1"/>
    </xf>
    <xf numFmtId="0" fontId="9" fillId="5" borderId="1" xfId="4" applyNumberFormat="1" applyFont="1" applyFill="1" applyBorder="1" applyAlignment="1" applyProtection="1">
      <alignment horizontal="center" vertical="top"/>
      <protection locked="0"/>
    </xf>
    <xf numFmtId="0" fontId="9" fillId="5" borderId="1" xfId="0" applyNumberFormat="1" applyFont="1" applyFill="1" applyBorder="1" applyAlignment="1" applyProtection="1">
      <alignment horizontal="center" vertical="top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166" fontId="22" fillId="3" borderId="6" xfId="4" applyNumberFormat="1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vertical="top"/>
    </xf>
    <xf numFmtId="0" fontId="9" fillId="7" borderId="0" xfId="0" applyFont="1" applyFill="1" applyBorder="1" applyAlignment="1" applyProtection="1">
      <alignment horizontal="center" vertical="top"/>
    </xf>
    <xf numFmtId="0" fontId="10" fillId="7" borderId="5" xfId="0" applyFont="1" applyFill="1" applyBorder="1" applyAlignment="1" applyProtection="1">
      <alignment vertical="top"/>
    </xf>
    <xf numFmtId="0" fontId="18" fillId="7" borderId="5" xfId="0" applyFont="1" applyFill="1" applyBorder="1" applyAlignment="1" applyProtection="1">
      <alignment horizontal="right" vertical="top"/>
    </xf>
    <xf numFmtId="3" fontId="18" fillId="7" borderId="5" xfId="0" applyNumberFormat="1" applyFont="1" applyFill="1" applyBorder="1" applyAlignment="1" applyProtection="1">
      <alignment horizontal="left" indent="1"/>
    </xf>
    <xf numFmtId="0" fontId="3" fillId="3" borderId="6" xfId="0" applyFont="1" applyFill="1" applyBorder="1" applyAlignment="1" applyProtection="1">
      <alignment horizontal="center" vertical="center" wrapText="1"/>
    </xf>
    <xf numFmtId="0" fontId="19" fillId="7" borderId="0" xfId="0" applyFont="1" applyFill="1" applyBorder="1" applyAlignment="1" applyProtection="1">
      <alignment vertical="top"/>
    </xf>
    <xf numFmtId="0" fontId="19" fillId="7" borderId="0" xfId="0" applyFont="1" applyFill="1" applyBorder="1" applyAlignment="1" applyProtection="1">
      <alignment horizontal="center" vertical="top"/>
    </xf>
    <xf numFmtId="165" fontId="12" fillId="7" borderId="0" xfId="4" applyNumberFormat="1" applyFont="1" applyFill="1" applyBorder="1" applyAlignment="1" applyProtection="1">
      <alignment vertical="top"/>
    </xf>
    <xf numFmtId="0" fontId="17" fillId="7" borderId="0" xfId="0" applyFont="1" applyFill="1" applyBorder="1" applyAlignment="1" applyProtection="1">
      <alignment horizontal="center" vertical="top"/>
    </xf>
    <xf numFmtId="0" fontId="17" fillId="7" borderId="0" xfId="0" applyFont="1" applyFill="1" applyBorder="1" applyAlignment="1" applyProtection="1">
      <alignment vertical="top"/>
    </xf>
    <xf numFmtId="1" fontId="19" fillId="7" borderId="0" xfId="0" applyNumberFormat="1" applyFont="1" applyFill="1" applyBorder="1" applyAlignment="1" applyProtection="1">
      <alignment horizontal="center" vertical="top"/>
    </xf>
    <xf numFmtId="1" fontId="19" fillId="7" borderId="0" xfId="0" applyNumberFormat="1" applyFont="1" applyFill="1" applyBorder="1" applyAlignment="1" applyProtection="1">
      <alignment horizontal="left" vertical="top"/>
    </xf>
    <xf numFmtId="165" fontId="9" fillId="7" borderId="0" xfId="0" applyNumberFormat="1" applyFont="1" applyFill="1" applyBorder="1" applyAlignment="1" applyProtection="1">
      <alignment vertical="top"/>
    </xf>
    <xf numFmtId="166" fontId="9" fillId="7" borderId="0" xfId="4" applyNumberFormat="1" applyFont="1" applyFill="1" applyBorder="1" applyAlignment="1" applyProtection="1">
      <alignment vertical="top"/>
    </xf>
    <xf numFmtId="166" fontId="0" fillId="7" borderId="0" xfId="4" applyNumberFormat="1" applyFont="1" applyFill="1" applyBorder="1" applyAlignment="1" applyProtection="1">
      <alignment vertical="top"/>
    </xf>
    <xf numFmtId="0" fontId="0" fillId="7" borderId="0" xfId="0" applyFont="1" applyFill="1" applyBorder="1" applyAlignment="1" applyProtection="1">
      <alignment vertical="top"/>
    </xf>
    <xf numFmtId="0" fontId="0" fillId="7" borderId="0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top"/>
    </xf>
    <xf numFmtId="0" fontId="7" fillId="7" borderId="1" xfId="0" applyFont="1" applyFill="1" applyBorder="1" applyAlignment="1" applyProtection="1">
      <alignment horizontal="right" vertical="top"/>
    </xf>
    <xf numFmtId="0" fontId="11" fillId="7" borderId="0" xfId="0" applyFont="1" applyFill="1" applyBorder="1" applyAlignment="1" applyProtection="1">
      <alignment vertical="top"/>
    </xf>
    <xf numFmtId="0" fontId="11" fillId="7" borderId="0" xfId="0" applyFont="1" applyFill="1" applyBorder="1" applyAlignment="1" applyProtection="1">
      <alignment horizontal="center" vertical="top"/>
    </xf>
    <xf numFmtId="0" fontId="11" fillId="7" borderId="0" xfId="0" applyFont="1" applyFill="1" applyBorder="1" applyAlignment="1" applyProtection="1">
      <alignment horizontal="right" vertical="top"/>
    </xf>
    <xf numFmtId="0" fontId="20" fillId="7" borderId="0" xfId="0" applyFont="1" applyFill="1" applyBorder="1" applyAlignment="1" applyProtection="1">
      <alignment vertical="top"/>
    </xf>
    <xf numFmtId="0" fontId="13" fillId="7" borderId="0" xfId="0" applyFont="1" applyFill="1" applyBorder="1" applyAlignment="1" applyProtection="1">
      <alignment horizontal="center" vertical="top"/>
    </xf>
    <xf numFmtId="0" fontId="26" fillId="7" borderId="0" xfId="6" applyFill="1" applyBorder="1" applyAlignment="1" applyProtection="1">
      <alignment vertical="top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65" fontId="9" fillId="0" borderId="1" xfId="4" applyNumberFormat="1" applyFont="1" applyBorder="1" applyAlignment="1" applyProtection="1">
      <alignment horizontal="center" vertical="top"/>
    </xf>
    <xf numFmtId="165" fontId="7" fillId="7" borderId="1" xfId="4" applyNumberFormat="1" applyFont="1" applyFill="1" applyBorder="1" applyAlignment="1" applyProtection="1">
      <alignment horizontal="center" vertical="top"/>
    </xf>
    <xf numFmtId="0" fontId="9" fillId="5" borderId="1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166" fontId="3" fillId="3" borderId="5" xfId="4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left" vertical="top"/>
      <protection locked="0"/>
    </xf>
    <xf numFmtId="0" fontId="0" fillId="7" borderId="0" xfId="0" applyFill="1" applyBorder="1" applyAlignment="1" applyProtection="1">
      <alignment vertical="top"/>
      <protection locked="0"/>
    </xf>
    <xf numFmtId="0" fontId="0" fillId="7" borderId="0" xfId="0" applyFill="1" applyBorder="1" applyAlignment="1" applyProtection="1">
      <alignment horizontal="center" vertical="top"/>
      <protection locked="0"/>
    </xf>
    <xf numFmtId="166" fontId="0" fillId="7" borderId="0" xfId="4" applyNumberFormat="1" applyFont="1" applyFill="1" applyBorder="1" applyAlignment="1" applyProtection="1">
      <alignment vertical="top"/>
      <protection locked="0"/>
    </xf>
    <xf numFmtId="0" fontId="25" fillId="7" borderId="0" xfId="0" applyFont="1" applyFill="1" applyBorder="1" applyAlignment="1" applyProtection="1">
      <alignment vertical="top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1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1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</cellXfs>
  <cellStyles count="7">
    <cellStyle name="Comma" xfId="4" builtinId="3"/>
    <cellStyle name="Comma 2" xfId="3" xr:uid="{00000000-0005-0000-0000-000001000000}"/>
    <cellStyle name="Hyperlink" xfId="6" builtinId="8"/>
    <cellStyle name="Normal" xfId="0" builtinId="0"/>
    <cellStyle name="Normal 2" xfId="1" xr:uid="{00000000-0005-0000-0000-000004000000}"/>
    <cellStyle name="Normal 3" xfId="2" xr:uid="{00000000-0005-0000-0000-000005000000}"/>
    <cellStyle name="Percent" xfId="5" builtinId="5"/>
  </cellStyles>
  <dxfs count="6"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0000CC"/>
      <color rgb="FFCCFFFF"/>
      <color rgb="FFE1F4FF"/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/>
              <a:t>Շահութաբերության Շեմ</a:t>
            </a:r>
          </a:p>
        </c:rich>
      </c:tx>
      <c:layout>
        <c:manualLayout>
          <c:xMode val="edge"/>
          <c:yMode val="edge"/>
          <c:x val="0.32508382433583932"/>
          <c:y val="2.9007531299202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'Break-Even Point Analysis'!$D$41</c:f>
              <c:strCache>
                <c:ptCount val="1"/>
                <c:pt idx="0">
                  <c:v>Ծասխեր</c:v>
                </c:pt>
              </c:strCache>
            </c:strRef>
          </c:tx>
          <c:spPr>
            <a:ln w="15875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 Analysis'!$A$42:$A$52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</c:numCache>
            </c:numRef>
          </c:cat>
          <c:val>
            <c:numRef>
              <c:f>'Break-Even Point Analysis'!$D$42:$D$52</c:f>
              <c:numCache>
                <c:formatCode>_-* #,##0_-;\-* #,##0_-;_-* "-"??_-;_-@_-</c:formatCode>
                <c:ptCount val="11"/>
                <c:pt idx="0" formatCode="\֏\ _-* #,##0_-;\-* #,##0_-;_-* &quot;-&quot;??_-;_-@_-">
                  <c:v>582500</c:v>
                </c:pt>
                <c:pt idx="1">
                  <c:v>693130.35714285716</c:v>
                </c:pt>
                <c:pt idx="2">
                  <c:v>803760.71428571432</c:v>
                </c:pt>
                <c:pt idx="3">
                  <c:v>914391.07142857136</c:v>
                </c:pt>
                <c:pt idx="4">
                  <c:v>1025021.4285714285</c:v>
                </c:pt>
                <c:pt idx="5">
                  <c:v>1135651.7857142857</c:v>
                </c:pt>
                <c:pt idx="6">
                  <c:v>1246282.1428571427</c:v>
                </c:pt>
                <c:pt idx="7">
                  <c:v>1356912.5</c:v>
                </c:pt>
                <c:pt idx="8">
                  <c:v>1467542.857142857</c:v>
                </c:pt>
                <c:pt idx="9">
                  <c:v>1578173.2142857141</c:v>
                </c:pt>
                <c:pt idx="10">
                  <c:v>1688803.5714285714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E48-8E33-4F17779465B5}"/>
            </c:ext>
          </c:extLst>
        </c:ser>
        <c:ser>
          <c:idx val="2"/>
          <c:order val="2"/>
          <c:tx>
            <c:strRef>
              <c:f>'Break-Even Point Analysis'!$E$41</c:f>
              <c:strCache>
                <c:ptCount val="1"/>
                <c:pt idx="0">
                  <c:v>Վաճառք</c:v>
                </c:pt>
              </c:strCache>
            </c:strRef>
          </c:tx>
          <c:spPr>
            <a:ln w="15875" cap="rnd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'Break-Even Point Analysis'!$A$42:$A$52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</c:numCache>
            </c:numRef>
          </c:cat>
          <c:val>
            <c:numRef>
              <c:f>'Break-Even Point Analysis'!$E$42:$E$52</c:f>
              <c:numCache>
                <c:formatCode>_-* #,##0_-;\-* #,##0_-;_-* "-"??_-;_-@_-</c:formatCode>
                <c:ptCount val="11"/>
                <c:pt idx="0" formatCode="\֏\ _-* #,##0_-;\-* #,##0_-;_-* &quot;-&quot;??_-;_-@_-">
                  <c:v>0</c:v>
                </c:pt>
                <c:pt idx="1">
                  <c:v>298681.31868131866</c:v>
                </c:pt>
                <c:pt idx="2">
                  <c:v>597362.63736263732</c:v>
                </c:pt>
                <c:pt idx="3">
                  <c:v>896043.9560439561</c:v>
                </c:pt>
                <c:pt idx="4">
                  <c:v>1194725.2747252746</c:v>
                </c:pt>
                <c:pt idx="5">
                  <c:v>1493406.5934065934</c:v>
                </c:pt>
                <c:pt idx="6">
                  <c:v>1792087.9120879122</c:v>
                </c:pt>
                <c:pt idx="7">
                  <c:v>2090769.2307692308</c:v>
                </c:pt>
                <c:pt idx="8">
                  <c:v>2389450.5494505493</c:v>
                </c:pt>
                <c:pt idx="9">
                  <c:v>2688131.8681318681</c:v>
                </c:pt>
                <c:pt idx="10">
                  <c:v>2986813.1868131869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E-4E48-8E33-4F177794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59474448"/>
        <c:axId val="559472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'Break-Even Point Analysis'!$A$41</c15:sqref>
                        </c15:formulaRef>
                      </c:ext>
                    </c:extLst>
                    <c:strCache>
                      <c:ptCount val="1"/>
                      <c:pt idx="0">
                        <c:v>Միավոր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'Break-Even Point Analysis'!$A$42:$A$52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0</c:v>
                      </c:pt>
                      <c:pt idx="1">
                        <c:v>1500</c:v>
                      </c:pt>
                      <c:pt idx="2">
                        <c:v>3000</c:v>
                      </c:pt>
                      <c:pt idx="3">
                        <c:v>4500</c:v>
                      </c:pt>
                      <c:pt idx="4">
                        <c:v>6000</c:v>
                      </c:pt>
                      <c:pt idx="5">
                        <c:v>7500</c:v>
                      </c:pt>
                      <c:pt idx="6">
                        <c:v>9000</c:v>
                      </c:pt>
                      <c:pt idx="7">
                        <c:v>10500</c:v>
                      </c:pt>
                      <c:pt idx="8">
                        <c:v>12000</c:v>
                      </c:pt>
                      <c:pt idx="9">
                        <c:v>13500</c:v>
                      </c:pt>
                      <c:pt idx="10">
                        <c:v>15000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'Break-Even Point Analysis'!$A$42:$A$52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0</c:v>
                      </c:pt>
                      <c:pt idx="1">
                        <c:v>1500</c:v>
                      </c:pt>
                      <c:pt idx="2">
                        <c:v>3000</c:v>
                      </c:pt>
                      <c:pt idx="3">
                        <c:v>4500</c:v>
                      </c:pt>
                      <c:pt idx="4">
                        <c:v>6000</c:v>
                      </c:pt>
                      <c:pt idx="5">
                        <c:v>7500</c:v>
                      </c:pt>
                      <c:pt idx="6">
                        <c:v>9000</c:v>
                      </c:pt>
                      <c:pt idx="7">
                        <c:v>10500</c:v>
                      </c:pt>
                      <c:pt idx="8">
                        <c:v>12000</c:v>
                      </c:pt>
                      <c:pt idx="9">
                        <c:v>13500</c:v>
                      </c:pt>
                      <c:pt idx="10">
                        <c:v>15000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79E-4E48-8E33-4F17779465B5}"/>
                  </c:ext>
                </c:extLst>
              </c15:ser>
            </c15:filteredLineSeries>
          </c:ext>
        </c:extLst>
      </c:lineChart>
      <c:catAx>
        <c:axId val="559474448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472480"/>
        <c:crosses val="autoZero"/>
        <c:auto val="1"/>
        <c:lblAlgn val="ctr"/>
        <c:lblOffset val="100"/>
        <c:noMultiLvlLbl val="0"/>
      </c:catAx>
      <c:valAx>
        <c:axId val="559472480"/>
        <c:scaling>
          <c:orientation val="minMax"/>
        </c:scaling>
        <c:delete val="0"/>
        <c:axPos val="l"/>
        <c:numFmt formatCode="\֏\ 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474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130972</xdr:colOff>
      <xdr:row>1</xdr:row>
      <xdr:rowOff>1053</xdr:rowOff>
    </xdr:from>
    <xdr:to>
      <xdr:col>26</xdr:col>
      <xdr:colOff>183931</xdr:colOff>
      <xdr:row>25</xdr:row>
      <xdr:rowOff>13138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EE25DFE-1353-447C-97B7-5E252168FC57}"/>
            </a:ext>
          </a:extLst>
        </xdr:cNvPr>
        <xdr:cNvGrpSpPr/>
      </xdr:nvGrpSpPr>
      <xdr:grpSpPr>
        <a:xfrm>
          <a:off x="7880512" y="374433"/>
          <a:ext cx="4266819" cy="3098185"/>
          <a:chOff x="5329914" y="2636520"/>
          <a:chExt cx="4079824" cy="273414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6DE547F-3708-4B42-9427-B7150D420C79}"/>
              </a:ext>
            </a:extLst>
          </xdr:cNvPr>
          <xdr:cNvGraphicFramePr/>
        </xdr:nvGraphicFramePr>
        <xdr:xfrm>
          <a:off x="5329914" y="2636520"/>
          <a:ext cx="4079824" cy="2734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pic>
            <xdr:nvPicPr>
              <xdr:cNvPr id="12" name="Picture 11">
                <a:extLst>
                  <a:ext uri="{FF2B5EF4-FFF2-40B4-BE49-F238E27FC236}">
                    <a16:creationId xmlns:a16="http://schemas.microsoft.com/office/drawing/2014/main" id="{4A82D497-B839-4403-8B27-63EB2BA3BD3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$B$55:$C$56" spid="_x0000_s4190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6751248" y="3126209"/>
                <a:ext cx="1615440" cy="36576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abezhany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CDB6-3001-4043-B920-99478C85F9BF}">
  <dimension ref="A1:AC59"/>
  <sheetViews>
    <sheetView showZeros="0" tabSelected="1" zoomScale="116" zoomScaleNormal="100" workbookViewId="0">
      <selection activeCell="J1" sqref="J1"/>
    </sheetView>
  </sheetViews>
  <sheetFormatPr defaultRowHeight="14.4" x14ac:dyDescent="0.3"/>
  <cols>
    <col min="1" max="1" width="8.21875" style="1" customWidth="1"/>
    <col min="2" max="2" width="12.77734375" style="1" customWidth="1"/>
    <col min="3" max="3" width="10.77734375" style="1" customWidth="1"/>
    <col min="4" max="4" width="8.6640625" style="4" customWidth="1"/>
    <col min="5" max="6" width="9.5546875" style="1" customWidth="1"/>
    <col min="7" max="7" width="8.6640625" style="1" customWidth="1"/>
    <col min="8" max="8" width="7.6640625" style="1" customWidth="1"/>
    <col min="9" max="9" width="9.77734375" style="1" bestFit="1" customWidth="1"/>
    <col min="10" max="11" width="8.109375" style="1" customWidth="1"/>
    <col min="12" max="12" width="11.109375" style="1" customWidth="1"/>
    <col min="13" max="13" width="9" style="1" hidden="1" customWidth="1"/>
    <col min="14" max="14" width="8.88671875" style="1" hidden="1" customWidth="1"/>
    <col min="15" max="15" width="8.5546875" style="1" hidden="1" customWidth="1"/>
    <col min="16" max="16" width="9.77734375" style="1" hidden="1" customWidth="1"/>
    <col min="17" max="19" width="6.88671875" style="1" hidden="1" customWidth="1"/>
    <col min="20" max="20" width="7" style="4" customWidth="1"/>
    <col min="21" max="22" width="9.88671875" style="4" customWidth="1"/>
    <col min="23" max="23" width="7.44140625" style="1" customWidth="1"/>
    <col min="24" max="24" width="8.5546875" style="5" bestFit="1" customWidth="1"/>
    <col min="25" max="25" width="10.88671875" style="1" customWidth="1"/>
    <col min="26" max="26" width="7.77734375" style="5" customWidth="1"/>
    <col min="27" max="27" width="8.21875" style="5" customWidth="1"/>
    <col min="28" max="28" width="9.77734375" style="1" customWidth="1"/>
    <col min="29" max="16384" width="8.88671875" style="1"/>
  </cols>
  <sheetData>
    <row r="1" spans="1:29" ht="29.4" customHeight="1" x14ac:dyDescent="0.3">
      <c r="A1" s="83" t="s">
        <v>51</v>
      </c>
      <c r="B1" s="83"/>
      <c r="C1" s="83"/>
      <c r="D1" s="83"/>
      <c r="E1" s="83"/>
      <c r="F1" s="83"/>
      <c r="G1" s="83"/>
      <c r="H1" s="83"/>
      <c r="I1" s="84"/>
      <c r="J1" s="84"/>
      <c r="K1" s="84"/>
      <c r="L1" s="84"/>
      <c r="M1" s="85"/>
      <c r="N1" s="85"/>
      <c r="O1" s="85"/>
      <c r="P1" s="85"/>
      <c r="Q1" s="85"/>
      <c r="R1" s="85"/>
      <c r="S1" s="85"/>
      <c r="T1" s="85"/>
      <c r="U1" s="85"/>
      <c r="V1" s="85"/>
      <c r="W1" s="84"/>
      <c r="X1" s="86"/>
      <c r="Y1" s="87"/>
      <c r="Z1" s="86"/>
      <c r="AA1" s="86"/>
    </row>
    <row r="2" spans="1:29" s="29" customFormat="1" ht="21" customHeight="1" x14ac:dyDescent="0.3">
      <c r="A2" s="88" t="s">
        <v>50</v>
      </c>
      <c r="B2" s="89"/>
      <c r="C2" s="10">
        <v>22</v>
      </c>
      <c r="D2" s="90" t="s">
        <v>6</v>
      </c>
      <c r="E2" s="91" t="s">
        <v>40</v>
      </c>
      <c r="F2" s="97" t="s">
        <v>49</v>
      </c>
      <c r="G2" s="98"/>
      <c r="H2" s="98"/>
      <c r="I2" s="28" t="s">
        <v>27</v>
      </c>
      <c r="J2" s="81" t="s">
        <v>14</v>
      </c>
      <c r="K2" s="81"/>
      <c r="L2" s="82"/>
      <c r="M2" s="78"/>
      <c r="N2" s="78"/>
      <c r="O2" s="78" t="s">
        <v>13</v>
      </c>
      <c r="P2" s="78"/>
      <c r="Q2" s="69" t="s">
        <v>38</v>
      </c>
      <c r="R2" s="70"/>
      <c r="S2" s="71"/>
      <c r="T2" s="57"/>
      <c r="U2" s="57"/>
      <c r="V2" s="57"/>
      <c r="W2" s="57"/>
      <c r="X2" s="57"/>
      <c r="Y2" s="57"/>
      <c r="Z2" s="56"/>
      <c r="AA2" s="56"/>
      <c r="AB2" s="1"/>
      <c r="AC2" s="1"/>
    </row>
    <row r="3" spans="1:29" s="30" customFormat="1" ht="28.8" x14ac:dyDescent="0.3">
      <c r="A3" s="92" t="s">
        <v>2</v>
      </c>
      <c r="B3" s="93"/>
      <c r="C3" s="94" t="s">
        <v>11</v>
      </c>
      <c r="D3" s="95"/>
      <c r="E3" s="96"/>
      <c r="F3" s="40" t="s">
        <v>18</v>
      </c>
      <c r="G3" s="40" t="s">
        <v>20</v>
      </c>
      <c r="H3" s="40" t="s">
        <v>19</v>
      </c>
      <c r="I3" s="38" t="s">
        <v>19</v>
      </c>
      <c r="J3" s="39" t="s">
        <v>17</v>
      </c>
      <c r="K3" s="39" t="s">
        <v>16</v>
      </c>
      <c r="L3" s="40" t="s">
        <v>15</v>
      </c>
      <c r="M3" s="3" t="s">
        <v>3</v>
      </c>
      <c r="N3" s="3" t="s">
        <v>4</v>
      </c>
      <c r="O3" s="3" t="s">
        <v>11</v>
      </c>
      <c r="P3" s="46" t="s">
        <v>8</v>
      </c>
      <c r="Q3" s="2" t="str">
        <f>IF(SUM(Q4:Q25)&lt;&gt;1,SUM(Q4:Q25),"վատ")</f>
        <v>վատ</v>
      </c>
      <c r="R3" s="2" t="str">
        <f>IF(SUM(R4:R25)&lt;&gt;1,SUM(R4:R25),"միջ")</f>
        <v>միջ</v>
      </c>
      <c r="S3" s="2" t="str">
        <f>IF(SUM(S4:S25)&lt;&gt;1,SUM(S4:S25),"լավ")</f>
        <v>լավ</v>
      </c>
      <c r="T3" s="58"/>
      <c r="U3" s="58"/>
      <c r="V3" s="58"/>
      <c r="W3" s="58"/>
      <c r="X3" s="58"/>
      <c r="Y3" s="58"/>
      <c r="Z3" s="56"/>
      <c r="AA3" s="56"/>
      <c r="AB3" s="1"/>
      <c r="AC3" s="1"/>
    </row>
    <row r="4" spans="1:29" s="12" customFormat="1" ht="13.8" customHeight="1" x14ac:dyDescent="0.3">
      <c r="A4" s="67" t="s">
        <v>36</v>
      </c>
      <c r="B4" s="68"/>
      <c r="C4" s="31">
        <v>180</v>
      </c>
      <c r="D4" s="31">
        <v>70</v>
      </c>
      <c r="E4" s="6">
        <v>7.0000000000000007E-2</v>
      </c>
      <c r="F4" s="32">
        <v>50</v>
      </c>
      <c r="G4" s="33">
        <v>50</v>
      </c>
      <c r="H4" s="34">
        <v>70</v>
      </c>
      <c r="I4" s="8" cm="1">
        <f t="array" ref="I4:I25">IF(I3=F3,Q4:Q25,IF(I3=G3,R4:R25,S4:S25))</f>
        <v>7.6923076923076927E-2</v>
      </c>
      <c r="J4" s="9">
        <f t="shared" ref="J4:J13" si="0">ROUNDUP(K4/$C$2,0)</f>
        <v>17</v>
      </c>
      <c r="K4" s="9">
        <f t="shared" ref="K4:K13" si="1">I4*$C$56</f>
        <v>357.41129910570481</v>
      </c>
      <c r="L4" s="9">
        <f t="shared" ref="L4:L13" si="2">I4*$C$55</f>
        <v>71168.05208566341</v>
      </c>
      <c r="M4" s="7">
        <f t="shared" ref="M4:M13" si="3">D4+D4*E4</f>
        <v>74.900000000000006</v>
      </c>
      <c r="N4" s="26">
        <f t="shared" ref="N4:N13" si="4">C4-M4</f>
        <v>105.1</v>
      </c>
      <c r="O4" s="9">
        <f t="shared" ref="O4:O13" si="5">C4*I4</f>
        <v>13.846153846153847</v>
      </c>
      <c r="P4" s="9">
        <f t="shared" ref="P4:P13" si="6">M4*I4</f>
        <v>5.7615384615384624</v>
      </c>
      <c r="Q4" s="35">
        <f t="shared" ref="Q4:Q25" si="7">F4/SUM($F$4:$F$25)</f>
        <v>0.10869565217391304</v>
      </c>
      <c r="R4" s="35">
        <f t="shared" ref="R4:R25" si="8">G4/SUM($G$4:$G$25)</f>
        <v>7.8125E-2</v>
      </c>
      <c r="S4" s="35">
        <f t="shared" ref="S4:S25" si="9">H4/SUM($H$4:$H$25)</f>
        <v>7.6923076923076927E-2</v>
      </c>
      <c r="T4" s="41"/>
      <c r="U4" s="41"/>
      <c r="V4" s="41"/>
      <c r="W4" s="41"/>
      <c r="X4" s="41"/>
      <c r="Y4" s="41"/>
      <c r="Z4" s="56"/>
      <c r="AA4" s="56"/>
      <c r="AB4" s="1"/>
      <c r="AC4" s="1"/>
    </row>
    <row r="5" spans="1:29" s="12" customFormat="1" ht="13.8" customHeight="1" x14ac:dyDescent="0.3">
      <c r="A5" s="67" t="s">
        <v>45</v>
      </c>
      <c r="B5" s="68"/>
      <c r="C5" s="31">
        <v>120</v>
      </c>
      <c r="D5" s="31">
        <v>45</v>
      </c>
      <c r="E5" s="6">
        <f t="shared" ref="E5:E25" si="10">E4</f>
        <v>7.0000000000000007E-2</v>
      </c>
      <c r="F5" s="32">
        <v>40</v>
      </c>
      <c r="G5" s="33">
        <v>50</v>
      </c>
      <c r="H5" s="34">
        <v>80</v>
      </c>
      <c r="I5" s="8">
        <v>8.7912087912087919E-2</v>
      </c>
      <c r="J5" s="9">
        <f t="shared" si="0"/>
        <v>19</v>
      </c>
      <c r="K5" s="9">
        <f t="shared" si="1"/>
        <v>408.47005612080551</v>
      </c>
      <c r="L5" s="9">
        <f t="shared" si="2"/>
        <v>81334.916669329614</v>
      </c>
      <c r="M5" s="7">
        <f t="shared" si="3"/>
        <v>48.15</v>
      </c>
      <c r="N5" s="26">
        <f t="shared" si="4"/>
        <v>71.849999999999994</v>
      </c>
      <c r="O5" s="9">
        <f t="shared" si="5"/>
        <v>10.549450549450551</v>
      </c>
      <c r="P5" s="9">
        <f t="shared" si="6"/>
        <v>4.232967032967033</v>
      </c>
      <c r="Q5" s="35">
        <f t="shared" si="7"/>
        <v>8.6956521739130432E-2</v>
      </c>
      <c r="R5" s="35">
        <f t="shared" si="8"/>
        <v>7.8125E-2</v>
      </c>
      <c r="S5" s="35">
        <f t="shared" si="9"/>
        <v>8.7912087912087919E-2</v>
      </c>
      <c r="T5" s="41"/>
      <c r="U5" s="41"/>
      <c r="V5" s="41"/>
      <c r="W5" s="41"/>
      <c r="X5" s="41"/>
      <c r="Y5" s="41"/>
      <c r="Z5" s="56"/>
      <c r="AA5" s="56"/>
      <c r="AB5" s="1"/>
      <c r="AC5" s="1"/>
    </row>
    <row r="6" spans="1:29" s="12" customFormat="1" ht="13.8" customHeight="1" x14ac:dyDescent="0.3">
      <c r="A6" s="67" t="s">
        <v>46</v>
      </c>
      <c r="B6" s="68"/>
      <c r="C6" s="31">
        <v>150</v>
      </c>
      <c r="D6" s="31">
        <v>50</v>
      </c>
      <c r="E6" s="6">
        <f t="shared" si="10"/>
        <v>7.0000000000000007E-2</v>
      </c>
      <c r="F6" s="32">
        <v>60</v>
      </c>
      <c r="G6" s="33">
        <v>80</v>
      </c>
      <c r="H6" s="34">
        <v>100</v>
      </c>
      <c r="I6" s="8">
        <v>0.10989010989010989</v>
      </c>
      <c r="J6" s="9">
        <f t="shared" si="0"/>
        <v>24</v>
      </c>
      <c r="K6" s="9">
        <f t="shared" si="1"/>
        <v>510.58757015100684</v>
      </c>
      <c r="L6" s="9">
        <f t="shared" si="2"/>
        <v>101668.64583666201</v>
      </c>
      <c r="M6" s="7">
        <f t="shared" si="3"/>
        <v>53.5</v>
      </c>
      <c r="N6" s="26">
        <f t="shared" si="4"/>
        <v>96.5</v>
      </c>
      <c r="O6" s="9">
        <f t="shared" si="5"/>
        <v>16.483516483516482</v>
      </c>
      <c r="P6" s="9">
        <f t="shared" si="6"/>
        <v>5.8791208791208787</v>
      </c>
      <c r="Q6" s="35">
        <f t="shared" si="7"/>
        <v>0.13043478260869565</v>
      </c>
      <c r="R6" s="35">
        <f t="shared" si="8"/>
        <v>0.125</v>
      </c>
      <c r="S6" s="35">
        <f t="shared" si="9"/>
        <v>0.10989010989010989</v>
      </c>
      <c r="T6" s="41"/>
      <c r="U6" s="41"/>
      <c r="V6" s="41"/>
      <c r="W6" s="41"/>
      <c r="X6" s="41"/>
      <c r="Y6" s="41"/>
      <c r="Z6" s="56"/>
      <c r="AA6" s="56"/>
      <c r="AB6" s="1"/>
      <c r="AC6" s="1"/>
    </row>
    <row r="7" spans="1:29" s="12" customFormat="1" ht="13.8" customHeight="1" x14ac:dyDescent="0.3">
      <c r="A7" s="67" t="s">
        <v>41</v>
      </c>
      <c r="B7" s="68"/>
      <c r="C7" s="31">
        <v>150</v>
      </c>
      <c r="D7" s="31">
        <v>50</v>
      </c>
      <c r="E7" s="6">
        <f>E6</f>
        <v>7.0000000000000007E-2</v>
      </c>
      <c r="F7" s="32">
        <v>45</v>
      </c>
      <c r="G7" s="33">
        <v>55</v>
      </c>
      <c r="H7" s="34">
        <v>75</v>
      </c>
      <c r="I7" s="8">
        <v>8.2417582417582416E-2</v>
      </c>
      <c r="J7" s="9">
        <f t="shared" si="0"/>
        <v>18</v>
      </c>
      <c r="K7" s="9">
        <f t="shared" si="1"/>
        <v>382.94067761325516</v>
      </c>
      <c r="L7" s="9">
        <f t="shared" si="2"/>
        <v>76251.484377496512</v>
      </c>
      <c r="M7" s="7">
        <f t="shared" si="3"/>
        <v>53.5</v>
      </c>
      <c r="N7" s="26">
        <f t="shared" si="4"/>
        <v>96.5</v>
      </c>
      <c r="O7" s="9">
        <f t="shared" si="5"/>
        <v>12.362637362637363</v>
      </c>
      <c r="P7" s="9">
        <f t="shared" si="6"/>
        <v>4.4093406593406597</v>
      </c>
      <c r="Q7" s="35">
        <f t="shared" si="7"/>
        <v>9.7826086956521743E-2</v>
      </c>
      <c r="R7" s="35">
        <f t="shared" si="8"/>
        <v>8.59375E-2</v>
      </c>
      <c r="S7" s="35">
        <f t="shared" si="9"/>
        <v>8.2417582417582416E-2</v>
      </c>
      <c r="T7" s="41"/>
      <c r="U7" s="41"/>
      <c r="V7" s="41"/>
      <c r="W7" s="41"/>
      <c r="X7" s="41"/>
      <c r="Y7" s="41"/>
      <c r="Z7" s="41"/>
      <c r="AA7" s="41"/>
      <c r="AC7" s="11"/>
    </row>
    <row r="8" spans="1:29" s="12" customFormat="1" ht="13.8" customHeight="1" x14ac:dyDescent="0.3">
      <c r="A8" s="67" t="s">
        <v>42</v>
      </c>
      <c r="B8" s="68"/>
      <c r="C8" s="31">
        <v>150</v>
      </c>
      <c r="D8" s="31">
        <v>45</v>
      </c>
      <c r="E8" s="6">
        <f t="shared" si="10"/>
        <v>7.0000000000000007E-2</v>
      </c>
      <c r="F8" s="32">
        <v>45</v>
      </c>
      <c r="G8" s="33">
        <v>55</v>
      </c>
      <c r="H8" s="34">
        <v>75</v>
      </c>
      <c r="I8" s="8">
        <v>8.2417582417582416E-2</v>
      </c>
      <c r="J8" s="9">
        <f t="shared" si="0"/>
        <v>18</v>
      </c>
      <c r="K8" s="9">
        <f t="shared" si="1"/>
        <v>382.94067761325516</v>
      </c>
      <c r="L8" s="9">
        <f t="shared" si="2"/>
        <v>76251.484377496512</v>
      </c>
      <c r="M8" s="7">
        <f t="shared" si="3"/>
        <v>48.15</v>
      </c>
      <c r="N8" s="26">
        <f t="shared" si="4"/>
        <v>101.85</v>
      </c>
      <c r="O8" s="9">
        <f t="shared" si="5"/>
        <v>12.362637362637363</v>
      </c>
      <c r="P8" s="9">
        <f t="shared" si="6"/>
        <v>3.9684065934065931</v>
      </c>
      <c r="Q8" s="35">
        <f t="shared" si="7"/>
        <v>9.7826086956521743E-2</v>
      </c>
      <c r="R8" s="35">
        <f t="shared" si="8"/>
        <v>8.59375E-2</v>
      </c>
      <c r="S8" s="35">
        <f t="shared" si="9"/>
        <v>8.2417582417582416E-2</v>
      </c>
      <c r="T8" s="41"/>
      <c r="U8" s="41"/>
      <c r="V8" s="41"/>
      <c r="W8" s="41"/>
      <c r="X8" s="41"/>
      <c r="Y8" s="41"/>
      <c r="Z8" s="41"/>
      <c r="AA8" s="41"/>
      <c r="AC8" s="11"/>
    </row>
    <row r="9" spans="1:29" s="12" customFormat="1" ht="13.8" customHeight="1" x14ac:dyDescent="0.3">
      <c r="A9" s="67" t="s">
        <v>43</v>
      </c>
      <c r="B9" s="68"/>
      <c r="C9" s="31">
        <v>400</v>
      </c>
      <c r="D9" s="31">
        <v>140</v>
      </c>
      <c r="E9" s="6">
        <f>E8</f>
        <v>7.0000000000000007E-2</v>
      </c>
      <c r="F9" s="32">
        <v>35</v>
      </c>
      <c r="G9" s="33">
        <v>45</v>
      </c>
      <c r="H9" s="34">
        <v>70</v>
      </c>
      <c r="I9" s="8">
        <v>7.6923076923076927E-2</v>
      </c>
      <c r="J9" s="9">
        <f t="shared" si="0"/>
        <v>17</v>
      </c>
      <c r="K9" s="9">
        <f t="shared" si="1"/>
        <v>357.41129910570481</v>
      </c>
      <c r="L9" s="9">
        <f t="shared" si="2"/>
        <v>71168.05208566341</v>
      </c>
      <c r="M9" s="7">
        <f t="shared" si="3"/>
        <v>149.80000000000001</v>
      </c>
      <c r="N9" s="26">
        <f t="shared" si="4"/>
        <v>250.2</v>
      </c>
      <c r="O9" s="9">
        <f t="shared" si="5"/>
        <v>30.76923076923077</v>
      </c>
      <c r="P9" s="9">
        <f t="shared" si="6"/>
        <v>11.523076923076925</v>
      </c>
      <c r="Q9" s="35">
        <f t="shared" si="7"/>
        <v>7.6086956521739135E-2</v>
      </c>
      <c r="R9" s="35">
        <f t="shared" si="8"/>
        <v>7.03125E-2</v>
      </c>
      <c r="S9" s="35">
        <f t="shared" si="9"/>
        <v>7.6923076923076927E-2</v>
      </c>
      <c r="T9" s="41"/>
      <c r="U9" s="41"/>
      <c r="V9" s="41"/>
      <c r="W9" s="41"/>
      <c r="X9" s="41"/>
      <c r="Y9" s="41"/>
      <c r="Z9" s="41"/>
      <c r="AA9" s="41"/>
      <c r="AC9" s="11"/>
    </row>
    <row r="10" spans="1:29" s="12" customFormat="1" ht="13.8" customHeight="1" x14ac:dyDescent="0.3">
      <c r="A10" s="67" t="s">
        <v>44</v>
      </c>
      <c r="B10" s="68"/>
      <c r="C10" s="31">
        <v>150</v>
      </c>
      <c r="D10" s="31">
        <v>55</v>
      </c>
      <c r="E10" s="6">
        <f>E9</f>
        <v>7.0000000000000007E-2</v>
      </c>
      <c r="F10" s="32">
        <v>50</v>
      </c>
      <c r="G10" s="33">
        <v>70</v>
      </c>
      <c r="H10" s="34">
        <v>100</v>
      </c>
      <c r="I10" s="8">
        <v>0.10989010989010989</v>
      </c>
      <c r="J10" s="9">
        <f t="shared" si="0"/>
        <v>24</v>
      </c>
      <c r="K10" s="9">
        <f t="shared" si="1"/>
        <v>510.58757015100684</v>
      </c>
      <c r="L10" s="9">
        <f t="shared" si="2"/>
        <v>101668.64583666201</v>
      </c>
      <c r="M10" s="7">
        <f t="shared" si="3"/>
        <v>58.85</v>
      </c>
      <c r="N10" s="26">
        <f t="shared" si="4"/>
        <v>91.15</v>
      </c>
      <c r="O10" s="9">
        <f t="shared" si="5"/>
        <v>16.483516483516482</v>
      </c>
      <c r="P10" s="9">
        <f t="shared" si="6"/>
        <v>6.4670329670329672</v>
      </c>
      <c r="Q10" s="35">
        <f t="shared" si="7"/>
        <v>0.10869565217391304</v>
      </c>
      <c r="R10" s="35">
        <f t="shared" si="8"/>
        <v>0.109375</v>
      </c>
      <c r="S10" s="35">
        <f t="shared" si="9"/>
        <v>0.10989010989010989</v>
      </c>
      <c r="T10" s="41"/>
      <c r="U10" s="41"/>
      <c r="V10" s="41"/>
      <c r="W10" s="41"/>
      <c r="X10" s="41"/>
      <c r="Y10" s="41"/>
      <c r="Z10" s="41"/>
      <c r="AA10" s="41"/>
      <c r="AC10" s="11"/>
    </row>
    <row r="11" spans="1:29" s="12" customFormat="1" ht="13.8" customHeight="1" x14ac:dyDescent="0.3">
      <c r="A11" s="67" t="s">
        <v>47</v>
      </c>
      <c r="B11" s="68"/>
      <c r="C11" s="31">
        <v>110</v>
      </c>
      <c r="D11" s="31">
        <v>40</v>
      </c>
      <c r="E11" s="6">
        <f t="shared" si="10"/>
        <v>7.0000000000000007E-2</v>
      </c>
      <c r="F11" s="32">
        <v>80</v>
      </c>
      <c r="G11" s="33">
        <v>150</v>
      </c>
      <c r="H11" s="34">
        <v>200</v>
      </c>
      <c r="I11" s="8">
        <v>0.21978021978021978</v>
      </c>
      <c r="J11" s="9">
        <f t="shared" si="0"/>
        <v>47</v>
      </c>
      <c r="K11" s="9">
        <f t="shared" si="1"/>
        <v>1021.1751403020137</v>
      </c>
      <c r="L11" s="9">
        <f t="shared" si="2"/>
        <v>203337.29167332401</v>
      </c>
      <c r="M11" s="7">
        <f t="shared" si="3"/>
        <v>42.8</v>
      </c>
      <c r="N11" s="26">
        <f t="shared" si="4"/>
        <v>67.2</v>
      </c>
      <c r="O11" s="9">
        <f t="shared" si="5"/>
        <v>24.175824175824175</v>
      </c>
      <c r="P11" s="9">
        <f t="shared" si="6"/>
        <v>9.4065934065934051</v>
      </c>
      <c r="Q11" s="35">
        <f t="shared" si="7"/>
        <v>0.17391304347826086</v>
      </c>
      <c r="R11" s="35">
        <f t="shared" si="8"/>
        <v>0.234375</v>
      </c>
      <c r="S11" s="35">
        <f t="shared" si="9"/>
        <v>0.21978021978021978</v>
      </c>
      <c r="T11" s="41"/>
      <c r="U11" s="41"/>
      <c r="V11" s="41"/>
      <c r="W11" s="41"/>
      <c r="X11" s="41"/>
      <c r="Y11" s="41"/>
      <c r="Z11" s="41"/>
      <c r="AA11" s="41"/>
      <c r="AC11" s="11"/>
    </row>
    <row r="12" spans="1:29" s="12" customFormat="1" ht="13.8" x14ac:dyDescent="0.3">
      <c r="A12" s="67" t="s">
        <v>5</v>
      </c>
      <c r="B12" s="68"/>
      <c r="C12" s="31">
        <v>350</v>
      </c>
      <c r="D12" s="31">
        <v>120</v>
      </c>
      <c r="E12" s="6">
        <f t="shared" si="10"/>
        <v>7.0000000000000007E-2</v>
      </c>
      <c r="F12" s="32">
        <v>35</v>
      </c>
      <c r="G12" s="33">
        <v>55</v>
      </c>
      <c r="H12" s="34">
        <v>90</v>
      </c>
      <c r="I12" s="8">
        <v>9.8901098901098897E-2</v>
      </c>
      <c r="J12" s="9">
        <f t="shared" si="0"/>
        <v>21</v>
      </c>
      <c r="K12" s="9">
        <f t="shared" si="1"/>
        <v>459.52881313590615</v>
      </c>
      <c r="L12" s="9">
        <f t="shared" si="2"/>
        <v>91501.781252995803</v>
      </c>
      <c r="M12" s="7">
        <f t="shared" si="3"/>
        <v>128.4</v>
      </c>
      <c r="N12" s="26">
        <f t="shared" si="4"/>
        <v>221.6</v>
      </c>
      <c r="O12" s="9">
        <f t="shared" si="5"/>
        <v>34.615384615384613</v>
      </c>
      <c r="P12" s="9">
        <f t="shared" si="6"/>
        <v>12.698901098901098</v>
      </c>
      <c r="Q12" s="35">
        <f t="shared" si="7"/>
        <v>7.6086956521739135E-2</v>
      </c>
      <c r="R12" s="35">
        <f t="shared" si="8"/>
        <v>8.59375E-2</v>
      </c>
      <c r="S12" s="35">
        <f t="shared" si="9"/>
        <v>9.8901098901098897E-2</v>
      </c>
      <c r="T12" s="41"/>
      <c r="U12" s="41"/>
      <c r="V12" s="41"/>
      <c r="W12" s="41"/>
      <c r="X12" s="41"/>
      <c r="Y12" s="41"/>
      <c r="Z12" s="41"/>
      <c r="AA12" s="41"/>
      <c r="AC12" s="11"/>
    </row>
    <row r="13" spans="1:29" s="12" customFormat="1" ht="13.8" x14ac:dyDescent="0.3">
      <c r="A13" s="67" t="s">
        <v>48</v>
      </c>
      <c r="B13" s="68"/>
      <c r="C13" s="31">
        <v>500</v>
      </c>
      <c r="D13" s="31">
        <v>160</v>
      </c>
      <c r="E13" s="6">
        <f>E12</f>
        <v>7.0000000000000007E-2</v>
      </c>
      <c r="F13" s="32">
        <v>20</v>
      </c>
      <c r="G13" s="33">
        <v>30</v>
      </c>
      <c r="H13" s="34">
        <v>50</v>
      </c>
      <c r="I13" s="8">
        <v>5.4945054945054944E-2</v>
      </c>
      <c r="J13" s="13">
        <f t="shared" si="0"/>
        <v>12</v>
      </c>
      <c r="K13" s="13">
        <f t="shared" si="1"/>
        <v>255.29378507550342</v>
      </c>
      <c r="L13" s="9">
        <f t="shared" si="2"/>
        <v>50834.322918331003</v>
      </c>
      <c r="M13" s="7">
        <f t="shared" si="3"/>
        <v>171.2</v>
      </c>
      <c r="N13" s="26">
        <f t="shared" si="4"/>
        <v>328.8</v>
      </c>
      <c r="O13" s="13">
        <f t="shared" si="5"/>
        <v>27.472527472527471</v>
      </c>
      <c r="P13" s="13">
        <f t="shared" si="6"/>
        <v>9.4065934065934051</v>
      </c>
      <c r="Q13" s="35">
        <f t="shared" si="7"/>
        <v>4.3478260869565216E-2</v>
      </c>
      <c r="R13" s="35">
        <f t="shared" si="8"/>
        <v>4.6875E-2</v>
      </c>
      <c r="S13" s="35">
        <f t="shared" si="9"/>
        <v>5.4945054945054944E-2</v>
      </c>
      <c r="T13" s="41"/>
      <c r="U13" s="41"/>
      <c r="V13" s="41"/>
      <c r="W13" s="41"/>
      <c r="X13" s="41"/>
      <c r="Y13" s="41"/>
      <c r="Z13" s="41"/>
      <c r="AA13" s="41"/>
    </row>
    <row r="14" spans="1:29" s="12" customFormat="1" ht="13.8" x14ac:dyDescent="0.3">
      <c r="A14" s="67"/>
      <c r="B14" s="68"/>
      <c r="C14" s="31"/>
      <c r="D14" s="31"/>
      <c r="E14" s="6">
        <f t="shared" ref="E14:E23" si="11">E13</f>
        <v>7.0000000000000007E-2</v>
      </c>
      <c r="F14" s="32"/>
      <c r="G14" s="33"/>
      <c r="H14" s="34"/>
      <c r="I14" s="8">
        <v>0</v>
      </c>
      <c r="J14" s="13"/>
      <c r="K14" s="13"/>
      <c r="L14" s="9"/>
      <c r="M14" s="7"/>
      <c r="N14" s="26"/>
      <c r="O14" s="13"/>
      <c r="P14" s="13"/>
      <c r="Q14" s="35">
        <f t="shared" si="7"/>
        <v>0</v>
      </c>
      <c r="R14" s="35">
        <f t="shared" si="8"/>
        <v>0</v>
      </c>
      <c r="S14" s="35">
        <f t="shared" si="9"/>
        <v>0</v>
      </c>
      <c r="T14" s="41"/>
      <c r="U14" s="41"/>
      <c r="V14" s="41"/>
      <c r="W14" s="41"/>
      <c r="X14" s="41"/>
      <c r="Y14" s="41"/>
      <c r="Z14" s="41"/>
      <c r="AA14" s="41"/>
    </row>
    <row r="15" spans="1:29" s="12" customFormat="1" ht="13.8" x14ac:dyDescent="0.3">
      <c r="A15" s="67"/>
      <c r="B15" s="68"/>
      <c r="C15" s="31"/>
      <c r="D15" s="31"/>
      <c r="E15" s="6">
        <f t="shared" si="11"/>
        <v>7.0000000000000007E-2</v>
      </c>
      <c r="F15" s="32"/>
      <c r="G15" s="33"/>
      <c r="H15" s="34"/>
      <c r="I15" s="8">
        <v>0</v>
      </c>
      <c r="J15" s="13"/>
      <c r="K15" s="13"/>
      <c r="L15" s="9"/>
      <c r="M15" s="7"/>
      <c r="N15" s="26"/>
      <c r="O15" s="13"/>
      <c r="P15" s="13"/>
      <c r="Q15" s="35">
        <f t="shared" si="7"/>
        <v>0</v>
      </c>
      <c r="R15" s="35">
        <f t="shared" si="8"/>
        <v>0</v>
      </c>
      <c r="S15" s="35">
        <f t="shared" si="9"/>
        <v>0</v>
      </c>
      <c r="T15" s="41"/>
      <c r="U15" s="41"/>
      <c r="V15" s="41"/>
      <c r="W15" s="41"/>
      <c r="X15" s="41"/>
      <c r="Y15" s="41"/>
      <c r="Z15" s="41"/>
      <c r="AA15" s="41"/>
    </row>
    <row r="16" spans="1:29" s="12" customFormat="1" ht="13.8" x14ac:dyDescent="0.3">
      <c r="A16" s="67"/>
      <c r="B16" s="68"/>
      <c r="C16" s="31"/>
      <c r="D16" s="31"/>
      <c r="E16" s="6">
        <f t="shared" si="11"/>
        <v>7.0000000000000007E-2</v>
      </c>
      <c r="F16" s="32"/>
      <c r="G16" s="33"/>
      <c r="H16" s="34"/>
      <c r="I16" s="8">
        <v>0</v>
      </c>
      <c r="J16" s="13"/>
      <c r="K16" s="13"/>
      <c r="L16" s="9"/>
      <c r="M16" s="7"/>
      <c r="N16" s="26"/>
      <c r="O16" s="13"/>
      <c r="P16" s="13"/>
      <c r="Q16" s="35">
        <f t="shared" si="7"/>
        <v>0</v>
      </c>
      <c r="R16" s="35">
        <f t="shared" si="8"/>
        <v>0</v>
      </c>
      <c r="S16" s="35">
        <f t="shared" si="9"/>
        <v>0</v>
      </c>
      <c r="T16" s="41"/>
      <c r="U16" s="41"/>
      <c r="V16" s="41"/>
      <c r="W16" s="41"/>
      <c r="X16" s="41"/>
      <c r="Y16" s="41"/>
      <c r="Z16" s="41"/>
      <c r="AA16" s="41"/>
    </row>
    <row r="17" spans="1:28" s="12" customFormat="1" ht="13.8" x14ac:dyDescent="0.3">
      <c r="A17" s="67"/>
      <c r="B17" s="68"/>
      <c r="C17" s="31"/>
      <c r="D17" s="31"/>
      <c r="E17" s="6">
        <f t="shared" si="11"/>
        <v>7.0000000000000007E-2</v>
      </c>
      <c r="F17" s="32"/>
      <c r="G17" s="33"/>
      <c r="H17" s="34"/>
      <c r="I17" s="8">
        <v>0</v>
      </c>
      <c r="J17" s="13"/>
      <c r="K17" s="13"/>
      <c r="L17" s="9"/>
      <c r="M17" s="7"/>
      <c r="N17" s="26"/>
      <c r="O17" s="13"/>
      <c r="P17" s="13"/>
      <c r="Q17" s="35">
        <f t="shared" si="7"/>
        <v>0</v>
      </c>
      <c r="R17" s="35">
        <f t="shared" si="8"/>
        <v>0</v>
      </c>
      <c r="S17" s="35">
        <f t="shared" si="9"/>
        <v>0</v>
      </c>
      <c r="T17" s="41"/>
      <c r="U17" s="41"/>
      <c r="V17" s="41"/>
      <c r="W17" s="41"/>
      <c r="X17" s="41"/>
      <c r="Y17" s="41"/>
      <c r="Z17" s="41"/>
      <c r="AA17" s="41"/>
    </row>
    <row r="18" spans="1:28" s="12" customFormat="1" ht="13.8" hidden="1" x14ac:dyDescent="0.3">
      <c r="A18" s="67"/>
      <c r="B18" s="68"/>
      <c r="C18" s="31"/>
      <c r="D18" s="31"/>
      <c r="E18" s="6">
        <f t="shared" si="11"/>
        <v>7.0000000000000007E-2</v>
      </c>
      <c r="F18" s="32"/>
      <c r="G18" s="33"/>
      <c r="H18" s="34"/>
      <c r="I18" s="8">
        <v>0</v>
      </c>
      <c r="J18" s="13"/>
      <c r="K18" s="13"/>
      <c r="L18" s="9"/>
      <c r="M18" s="7"/>
      <c r="N18" s="26"/>
      <c r="O18" s="13"/>
      <c r="P18" s="13"/>
      <c r="Q18" s="35">
        <f t="shared" si="7"/>
        <v>0</v>
      </c>
      <c r="R18" s="35">
        <f t="shared" si="8"/>
        <v>0</v>
      </c>
      <c r="S18" s="35">
        <f t="shared" si="9"/>
        <v>0</v>
      </c>
      <c r="T18" s="41"/>
      <c r="U18" s="41"/>
      <c r="V18" s="41"/>
      <c r="W18" s="41"/>
      <c r="X18" s="41"/>
      <c r="Y18" s="41"/>
      <c r="Z18" s="41"/>
      <c r="AA18" s="41"/>
    </row>
    <row r="19" spans="1:28" s="12" customFormat="1" ht="13.8" hidden="1" x14ac:dyDescent="0.3">
      <c r="A19" s="67"/>
      <c r="B19" s="68"/>
      <c r="C19" s="31"/>
      <c r="D19" s="31"/>
      <c r="E19" s="6">
        <f t="shared" si="11"/>
        <v>7.0000000000000007E-2</v>
      </c>
      <c r="F19" s="32"/>
      <c r="G19" s="33"/>
      <c r="H19" s="34"/>
      <c r="I19" s="8">
        <v>0</v>
      </c>
      <c r="J19" s="13"/>
      <c r="K19" s="13"/>
      <c r="L19" s="9"/>
      <c r="M19" s="7"/>
      <c r="N19" s="26"/>
      <c r="O19" s="13"/>
      <c r="P19" s="13"/>
      <c r="Q19" s="35">
        <f t="shared" si="7"/>
        <v>0</v>
      </c>
      <c r="R19" s="35">
        <f t="shared" si="8"/>
        <v>0</v>
      </c>
      <c r="S19" s="35">
        <f t="shared" si="9"/>
        <v>0</v>
      </c>
      <c r="T19" s="41"/>
      <c r="U19" s="41"/>
      <c r="V19" s="41"/>
      <c r="W19" s="41"/>
      <c r="X19" s="41"/>
      <c r="Y19" s="41"/>
      <c r="Z19" s="41"/>
      <c r="AA19" s="41"/>
    </row>
    <row r="20" spans="1:28" s="12" customFormat="1" ht="13.8" hidden="1" x14ac:dyDescent="0.3">
      <c r="A20" s="67"/>
      <c r="B20" s="68"/>
      <c r="C20" s="31"/>
      <c r="D20" s="31"/>
      <c r="E20" s="6">
        <f t="shared" si="11"/>
        <v>7.0000000000000007E-2</v>
      </c>
      <c r="F20" s="32"/>
      <c r="G20" s="33"/>
      <c r="H20" s="34"/>
      <c r="I20" s="8">
        <v>0</v>
      </c>
      <c r="J20" s="13"/>
      <c r="K20" s="13"/>
      <c r="L20" s="9"/>
      <c r="M20" s="7"/>
      <c r="N20" s="26"/>
      <c r="O20" s="13"/>
      <c r="P20" s="13"/>
      <c r="Q20" s="35">
        <f t="shared" si="7"/>
        <v>0</v>
      </c>
      <c r="R20" s="35">
        <f t="shared" si="8"/>
        <v>0</v>
      </c>
      <c r="S20" s="35">
        <f t="shared" si="9"/>
        <v>0</v>
      </c>
      <c r="T20" s="41"/>
      <c r="U20" s="41"/>
      <c r="V20" s="41"/>
      <c r="W20" s="41"/>
      <c r="X20" s="41"/>
      <c r="Y20" s="41"/>
      <c r="Z20" s="41"/>
      <c r="AA20" s="41"/>
    </row>
    <row r="21" spans="1:28" s="12" customFormat="1" ht="13.8" hidden="1" x14ac:dyDescent="0.3">
      <c r="A21" s="67"/>
      <c r="B21" s="68"/>
      <c r="C21" s="31"/>
      <c r="D21" s="31"/>
      <c r="E21" s="6">
        <f t="shared" si="11"/>
        <v>7.0000000000000007E-2</v>
      </c>
      <c r="F21" s="32"/>
      <c r="G21" s="33"/>
      <c r="H21" s="34"/>
      <c r="I21" s="8">
        <v>0</v>
      </c>
      <c r="J21" s="13"/>
      <c r="K21" s="13"/>
      <c r="L21" s="9"/>
      <c r="M21" s="7"/>
      <c r="N21" s="26"/>
      <c r="O21" s="13"/>
      <c r="P21" s="13"/>
      <c r="Q21" s="35">
        <f t="shared" si="7"/>
        <v>0</v>
      </c>
      <c r="R21" s="35">
        <f t="shared" si="8"/>
        <v>0</v>
      </c>
      <c r="S21" s="35">
        <f t="shared" si="9"/>
        <v>0</v>
      </c>
      <c r="T21" s="41"/>
      <c r="U21" s="41"/>
      <c r="V21" s="41"/>
      <c r="W21" s="41"/>
      <c r="X21" s="41"/>
      <c r="Y21" s="41"/>
      <c r="Z21" s="41"/>
      <c r="AA21" s="41"/>
    </row>
    <row r="22" spans="1:28" s="12" customFormat="1" ht="13.8" hidden="1" x14ac:dyDescent="0.3">
      <c r="A22" s="67"/>
      <c r="B22" s="68"/>
      <c r="C22" s="31"/>
      <c r="D22" s="31"/>
      <c r="E22" s="6">
        <f t="shared" si="11"/>
        <v>7.0000000000000007E-2</v>
      </c>
      <c r="F22" s="32"/>
      <c r="G22" s="33"/>
      <c r="H22" s="34"/>
      <c r="I22" s="8">
        <v>0</v>
      </c>
      <c r="J22" s="13"/>
      <c r="K22" s="13"/>
      <c r="L22" s="9"/>
      <c r="M22" s="7"/>
      <c r="N22" s="26"/>
      <c r="O22" s="13"/>
      <c r="P22" s="13"/>
      <c r="Q22" s="35">
        <f t="shared" si="7"/>
        <v>0</v>
      </c>
      <c r="R22" s="35">
        <f t="shared" si="8"/>
        <v>0</v>
      </c>
      <c r="S22" s="35">
        <f t="shared" si="9"/>
        <v>0</v>
      </c>
      <c r="T22" s="41"/>
      <c r="U22" s="41"/>
      <c r="V22" s="41"/>
      <c r="W22" s="41"/>
      <c r="X22" s="41"/>
      <c r="Y22" s="41"/>
      <c r="Z22" s="41"/>
      <c r="AA22" s="41"/>
    </row>
    <row r="23" spans="1:28" s="12" customFormat="1" ht="13.8" hidden="1" x14ac:dyDescent="0.3">
      <c r="A23" s="67"/>
      <c r="B23" s="68"/>
      <c r="C23" s="31"/>
      <c r="D23" s="31"/>
      <c r="E23" s="6">
        <f t="shared" si="11"/>
        <v>7.0000000000000007E-2</v>
      </c>
      <c r="F23" s="32"/>
      <c r="G23" s="33"/>
      <c r="H23" s="34"/>
      <c r="I23" s="8">
        <v>0</v>
      </c>
      <c r="J23" s="13">
        <f>ROUNDUP(K23/$C$2,0)</f>
        <v>0</v>
      </c>
      <c r="K23" s="13">
        <f>I23*$C$56</f>
        <v>0</v>
      </c>
      <c r="L23" s="9">
        <f>I23*$C$55</f>
        <v>0</v>
      </c>
      <c r="M23" s="7">
        <f>D23+D23*E23</f>
        <v>0</v>
      </c>
      <c r="N23" s="26">
        <f>C23-M23</f>
        <v>0</v>
      </c>
      <c r="O23" s="13">
        <f>C23*I23</f>
        <v>0</v>
      </c>
      <c r="P23" s="13">
        <f>M23*I23</f>
        <v>0</v>
      </c>
      <c r="Q23" s="35">
        <f t="shared" si="7"/>
        <v>0</v>
      </c>
      <c r="R23" s="35">
        <f t="shared" si="8"/>
        <v>0</v>
      </c>
      <c r="S23" s="35">
        <f t="shared" si="9"/>
        <v>0</v>
      </c>
      <c r="T23" s="41"/>
      <c r="U23" s="41"/>
      <c r="V23" s="41"/>
      <c r="W23" s="41"/>
      <c r="X23" s="41"/>
      <c r="Y23" s="41"/>
      <c r="Z23" s="41"/>
      <c r="AA23" s="41"/>
    </row>
    <row r="24" spans="1:28" s="12" customFormat="1" ht="13.8" hidden="1" x14ac:dyDescent="0.3">
      <c r="A24" s="67"/>
      <c r="B24" s="68"/>
      <c r="C24" s="31"/>
      <c r="D24" s="31"/>
      <c r="E24" s="6">
        <f t="shared" si="10"/>
        <v>7.0000000000000007E-2</v>
      </c>
      <c r="F24" s="32"/>
      <c r="G24" s="33"/>
      <c r="H24" s="34"/>
      <c r="I24" s="8">
        <v>0</v>
      </c>
      <c r="J24" s="13">
        <f>ROUNDUP(K24/$C$2,0)</f>
        <v>0</v>
      </c>
      <c r="K24" s="13">
        <f>I24*$C$56</f>
        <v>0</v>
      </c>
      <c r="L24" s="9">
        <f>I24*$C$55</f>
        <v>0</v>
      </c>
      <c r="M24" s="7">
        <f>D24+D24*E24</f>
        <v>0</v>
      </c>
      <c r="N24" s="26">
        <f>C24-M24</f>
        <v>0</v>
      </c>
      <c r="O24" s="13">
        <f>C24*I24</f>
        <v>0</v>
      </c>
      <c r="P24" s="13">
        <f>M24*I24</f>
        <v>0</v>
      </c>
      <c r="Q24" s="35">
        <f t="shared" si="7"/>
        <v>0</v>
      </c>
      <c r="R24" s="35">
        <f t="shared" si="8"/>
        <v>0</v>
      </c>
      <c r="S24" s="35">
        <f t="shared" si="9"/>
        <v>0</v>
      </c>
      <c r="T24" s="41"/>
      <c r="U24" s="41"/>
      <c r="V24" s="41"/>
      <c r="W24" s="41"/>
      <c r="X24" s="41"/>
      <c r="Y24" s="41"/>
      <c r="Z24" s="41"/>
      <c r="AA24" s="41"/>
    </row>
    <row r="25" spans="1:28" s="12" customFormat="1" ht="13.8" hidden="1" x14ac:dyDescent="0.3">
      <c r="A25" s="67"/>
      <c r="B25" s="68"/>
      <c r="C25" s="31"/>
      <c r="D25" s="31"/>
      <c r="E25" s="6">
        <f t="shared" si="10"/>
        <v>7.0000000000000007E-2</v>
      </c>
      <c r="F25" s="32"/>
      <c r="G25" s="33"/>
      <c r="H25" s="34"/>
      <c r="I25" s="8">
        <v>0</v>
      </c>
      <c r="J25" s="13">
        <f>ROUNDUP(K25/$C$2,0)</f>
        <v>0</v>
      </c>
      <c r="K25" s="13">
        <f>I25*$C$56</f>
        <v>0</v>
      </c>
      <c r="L25" s="9">
        <f>I25*$C$55</f>
        <v>0</v>
      </c>
      <c r="M25" s="7">
        <f>D25+D25*E25</f>
        <v>0</v>
      </c>
      <c r="N25" s="26">
        <f>C25-M25</f>
        <v>0</v>
      </c>
      <c r="O25" s="13">
        <f>C25*I25</f>
        <v>0</v>
      </c>
      <c r="P25" s="13">
        <f>M25*I25</f>
        <v>0</v>
      </c>
      <c r="Q25" s="35">
        <f t="shared" si="7"/>
        <v>0</v>
      </c>
      <c r="R25" s="35">
        <f t="shared" si="8"/>
        <v>0</v>
      </c>
      <c r="S25" s="35">
        <f t="shared" si="9"/>
        <v>0</v>
      </c>
      <c r="T25" s="41"/>
      <c r="U25" s="41"/>
      <c r="V25" s="41"/>
      <c r="W25" s="41"/>
      <c r="X25" s="41"/>
      <c r="Y25" s="41"/>
      <c r="Z25" s="41"/>
      <c r="AA25" s="41"/>
    </row>
    <row r="26" spans="1:28" s="25" customFormat="1" ht="13.8" x14ac:dyDescent="0.3">
      <c r="A26" s="47"/>
      <c r="B26" s="47"/>
      <c r="C26" s="47"/>
      <c r="D26" s="48"/>
      <c r="E26" s="47"/>
      <c r="F26" s="49">
        <f>SUM(F4:F25)</f>
        <v>460</v>
      </c>
      <c r="G26" s="49">
        <f>SUM(G4:G25)</f>
        <v>640</v>
      </c>
      <c r="H26" s="49">
        <f>SUM(H4:H25)</f>
        <v>910</v>
      </c>
      <c r="I26" s="50"/>
      <c r="J26" s="49">
        <f>SUM(J4:J25)</f>
        <v>217</v>
      </c>
      <c r="K26" s="49">
        <f>SUM(K4:K25)</f>
        <v>4646.3468883741616</v>
      </c>
      <c r="L26" s="49">
        <f>SUM(L4:L25)</f>
        <v>925184.67711362429</v>
      </c>
      <c r="M26" s="51"/>
      <c r="N26" s="52" cm="1">
        <f t="array" ref="N26">SUMPRODUCT(N4:N25*I4:I25)</f>
        <v>125.36730769230769</v>
      </c>
      <c r="O26" s="49">
        <f>SUM(O4:O25)</f>
        <v>199.12087912087912</v>
      </c>
      <c r="P26" s="49">
        <f>SUM(P4:P25)</f>
        <v>73.753571428571419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7">
        <f>O26-P26</f>
        <v>125.3673076923077</v>
      </c>
    </row>
    <row r="27" spans="1:28" s="12" customFormat="1" ht="13.8" x14ac:dyDescent="0.3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53" t="s">
        <v>39</v>
      </c>
      <c r="O27" s="41"/>
      <c r="P27" s="41"/>
      <c r="Q27" s="41"/>
      <c r="R27" s="41"/>
      <c r="S27" s="41"/>
      <c r="T27" s="42"/>
      <c r="U27" s="42"/>
      <c r="V27" s="42"/>
      <c r="W27" s="54"/>
      <c r="X27" s="55"/>
      <c r="Y27" s="41"/>
      <c r="Z27" s="55"/>
      <c r="AA27" s="55"/>
    </row>
    <row r="28" spans="1:28" s="12" customFormat="1" ht="14.4" customHeight="1" x14ac:dyDescent="0.3">
      <c r="A28" s="75" t="s">
        <v>7</v>
      </c>
      <c r="B28" s="76"/>
      <c r="C28" s="76"/>
      <c r="D28" s="77"/>
      <c r="E28" s="17" t="s">
        <v>37</v>
      </c>
      <c r="F28" s="17" t="s">
        <v>9</v>
      </c>
      <c r="G28" s="79" t="s">
        <v>10</v>
      </c>
      <c r="H28" s="8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2"/>
      <c r="V28" s="42"/>
      <c r="W28" s="54"/>
      <c r="X28" s="55"/>
      <c r="Y28" s="41"/>
      <c r="Z28" s="41"/>
      <c r="AA28" s="41"/>
    </row>
    <row r="29" spans="1:28" s="12" customFormat="1" ht="13.8" x14ac:dyDescent="0.3">
      <c r="A29" s="74" t="s">
        <v>32</v>
      </c>
      <c r="B29" s="74"/>
      <c r="C29" s="74"/>
      <c r="D29" s="74"/>
      <c r="E29" s="36">
        <v>1</v>
      </c>
      <c r="F29" s="14">
        <v>140000</v>
      </c>
      <c r="G29" s="72">
        <f>E29*F29</f>
        <v>140000</v>
      </c>
      <c r="H29" s="7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42"/>
      <c r="V29" s="42"/>
      <c r="W29" s="41"/>
      <c r="X29" s="55"/>
      <c r="Y29" s="41"/>
      <c r="Z29" s="41"/>
      <c r="AA29" s="41"/>
    </row>
    <row r="30" spans="1:28" s="12" customFormat="1" ht="13.8" x14ac:dyDescent="0.3">
      <c r="A30" s="74" t="s">
        <v>33</v>
      </c>
      <c r="B30" s="74"/>
      <c r="C30" s="74"/>
      <c r="D30" s="74"/>
      <c r="E30" s="36">
        <v>2</v>
      </c>
      <c r="F30" s="14">
        <f>C2*5000</f>
        <v>110000</v>
      </c>
      <c r="G30" s="72">
        <f>E30*F30</f>
        <v>220000</v>
      </c>
      <c r="H30" s="72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1"/>
      <c r="X30" s="55"/>
      <c r="Y30" s="41"/>
      <c r="Z30" s="41"/>
      <c r="AA30" s="41"/>
    </row>
    <row r="31" spans="1:28" s="12" customFormat="1" ht="13.8" x14ac:dyDescent="0.3">
      <c r="A31" s="74" t="s">
        <v>1</v>
      </c>
      <c r="B31" s="74"/>
      <c r="C31" s="74"/>
      <c r="D31" s="74"/>
      <c r="E31" s="37">
        <v>1</v>
      </c>
      <c r="F31" s="15">
        <v>100000</v>
      </c>
      <c r="G31" s="72">
        <f>E31*F31</f>
        <v>100000</v>
      </c>
      <c r="H31" s="7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1"/>
      <c r="X31" s="55"/>
      <c r="Y31" s="41"/>
      <c r="Z31" s="55"/>
      <c r="AA31" s="55"/>
    </row>
    <row r="32" spans="1:28" s="12" customFormat="1" ht="13.8" x14ac:dyDescent="0.3">
      <c r="A32" s="74" t="s">
        <v>31</v>
      </c>
      <c r="B32" s="74"/>
      <c r="C32" s="74"/>
      <c r="D32" s="74"/>
      <c r="E32" s="37">
        <v>1</v>
      </c>
      <c r="F32" s="15">
        <f>(6*80000+6*25000)/12</f>
        <v>52500</v>
      </c>
      <c r="G32" s="72">
        <f>E32*F32</f>
        <v>52500</v>
      </c>
      <c r="H32" s="72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2"/>
      <c r="V32" s="42"/>
      <c r="W32" s="41"/>
      <c r="X32" s="55"/>
      <c r="Y32" s="41"/>
      <c r="Z32" s="55"/>
      <c r="AA32" s="55"/>
    </row>
    <row r="33" spans="1:27" s="12" customFormat="1" ht="13.8" x14ac:dyDescent="0.3">
      <c r="A33" s="74" t="s">
        <v>12</v>
      </c>
      <c r="B33" s="74"/>
      <c r="C33" s="74"/>
      <c r="D33" s="74"/>
      <c r="E33" s="37">
        <v>1</v>
      </c>
      <c r="F33" s="16">
        <v>20000</v>
      </c>
      <c r="G33" s="72">
        <f>E33*F33</f>
        <v>20000</v>
      </c>
      <c r="H33" s="7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2"/>
      <c r="V33" s="42"/>
      <c r="W33" s="41"/>
      <c r="X33" s="55"/>
      <c r="Y33" s="41"/>
      <c r="Z33" s="55"/>
      <c r="AA33" s="55"/>
    </row>
    <row r="34" spans="1:27" s="12" customFormat="1" ht="13.8" x14ac:dyDescent="0.3">
      <c r="A34" s="74" t="s">
        <v>34</v>
      </c>
      <c r="B34" s="74"/>
      <c r="C34" s="74"/>
      <c r="D34" s="74"/>
      <c r="E34" s="37">
        <v>1</v>
      </c>
      <c r="F34" s="16">
        <v>40000</v>
      </c>
      <c r="G34" s="72">
        <f t="shared" ref="G34" si="12">E34*F34</f>
        <v>40000</v>
      </c>
      <c r="H34" s="72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2"/>
      <c r="V34" s="42"/>
      <c r="W34" s="41"/>
      <c r="X34" s="55"/>
      <c r="Y34" s="41"/>
      <c r="Z34" s="55"/>
      <c r="AA34" s="55"/>
    </row>
    <row r="35" spans="1:27" s="12" customFormat="1" ht="13.8" x14ac:dyDescent="0.3">
      <c r="A35" s="74" t="s">
        <v>35</v>
      </c>
      <c r="B35" s="74"/>
      <c r="C35" s="74"/>
      <c r="D35" s="74"/>
      <c r="E35" s="37">
        <v>1</v>
      </c>
      <c r="F35" s="16">
        <v>10000</v>
      </c>
      <c r="G35" s="72">
        <f>E35*F35</f>
        <v>10000</v>
      </c>
      <c r="H35" s="7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42"/>
      <c r="V35" s="42"/>
      <c r="W35" s="41"/>
      <c r="X35" s="55"/>
      <c r="Y35" s="41"/>
      <c r="Z35" s="41"/>
      <c r="AA35" s="41"/>
    </row>
    <row r="36" spans="1:27" s="12" customFormat="1" ht="13.8" x14ac:dyDescent="0.3">
      <c r="A36" s="41"/>
      <c r="B36" s="41"/>
      <c r="C36" s="41"/>
      <c r="D36" s="42"/>
      <c r="E36" s="59"/>
      <c r="F36" s="60" t="s">
        <v>0</v>
      </c>
      <c r="G36" s="73">
        <f>SUM(G29:G35)</f>
        <v>582500</v>
      </c>
      <c r="H36" s="73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55"/>
      <c r="X36" s="55"/>
      <c r="Y36" s="41"/>
      <c r="Z36" s="41"/>
      <c r="AA36" s="41"/>
    </row>
    <row r="37" spans="1:27" s="12" customFormat="1" ht="13.8" x14ac:dyDescent="0.3">
      <c r="A37" s="61"/>
      <c r="B37" s="61"/>
      <c r="C37" s="61"/>
      <c r="D37" s="62"/>
      <c r="E37" s="63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55"/>
      <c r="Y37" s="41"/>
      <c r="Z37" s="41"/>
      <c r="AA37" s="41"/>
    </row>
    <row r="38" spans="1:27" s="12" customFormat="1" ht="13.8" x14ac:dyDescent="0.3">
      <c r="A38" s="41"/>
      <c r="B38" s="64" t="s">
        <v>28</v>
      </c>
      <c r="C38" s="61"/>
      <c r="D38" s="6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55"/>
      <c r="Y38" s="41"/>
      <c r="Z38" s="41"/>
      <c r="AA38" s="41"/>
    </row>
    <row r="39" spans="1:27" s="12" customFormat="1" ht="13.8" x14ac:dyDescent="0.3">
      <c r="A39" s="61"/>
      <c r="B39" s="41"/>
      <c r="C39" s="41"/>
      <c r="D39" s="6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55"/>
      <c r="Y39" s="41"/>
      <c r="Z39" s="41"/>
      <c r="AA39" s="41"/>
    </row>
    <row r="40" spans="1:27" s="12" customFormat="1" ht="13.8" x14ac:dyDescent="0.3">
      <c r="A40" s="18">
        <v>1500</v>
      </c>
      <c r="B40" s="65" t="s">
        <v>25</v>
      </c>
      <c r="C40" s="61"/>
      <c r="D40" s="6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55"/>
      <c r="Y40" s="41"/>
      <c r="Z40" s="41"/>
      <c r="AA40" s="41"/>
    </row>
    <row r="41" spans="1:27" s="12" customFormat="1" ht="13.8" x14ac:dyDescent="0.3">
      <c r="A41" s="22" t="s">
        <v>21</v>
      </c>
      <c r="B41" s="22" t="s">
        <v>22</v>
      </c>
      <c r="C41" s="22" t="s">
        <v>23</v>
      </c>
      <c r="D41" s="22" t="s">
        <v>24</v>
      </c>
      <c r="E41" s="22" t="s">
        <v>29</v>
      </c>
      <c r="F41" s="22" t="s">
        <v>26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55"/>
      <c r="Y41" s="41"/>
      <c r="Z41" s="55"/>
      <c r="AA41" s="55"/>
    </row>
    <row r="42" spans="1:27" s="12" customFormat="1" ht="13.8" x14ac:dyDescent="0.3">
      <c r="A42" s="19">
        <v>0</v>
      </c>
      <c r="B42" s="20">
        <f>$G$36</f>
        <v>582500</v>
      </c>
      <c r="C42" s="20">
        <f t="shared" ref="C42:C52" si="13">$P$26*A42</f>
        <v>0</v>
      </c>
      <c r="D42" s="23">
        <f t="shared" ref="D42:D52" si="14">B42+C42</f>
        <v>582500</v>
      </c>
      <c r="E42" s="21">
        <f t="shared" ref="E42:E52" si="15">$O$26*A42</f>
        <v>0</v>
      </c>
      <c r="F42" s="20">
        <f t="shared" ref="F42:F52" si="16">E42-D42</f>
        <v>-582500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55"/>
      <c r="Y42" s="41"/>
      <c r="Z42" s="55"/>
      <c r="AA42" s="55"/>
    </row>
    <row r="43" spans="1:27" s="12" customFormat="1" ht="13.8" x14ac:dyDescent="0.3">
      <c r="A43" s="19">
        <f t="shared" ref="A43:A52" si="17">A42+$A$40</f>
        <v>1500</v>
      </c>
      <c r="B43" s="20">
        <f t="shared" ref="B43:B52" si="18">$G$36</f>
        <v>582500</v>
      </c>
      <c r="C43" s="20">
        <f t="shared" si="13"/>
        <v>110630.35714285713</v>
      </c>
      <c r="D43" s="24">
        <f t="shared" si="14"/>
        <v>693130.35714285716</v>
      </c>
      <c r="E43" s="19">
        <f t="shared" si="15"/>
        <v>298681.31868131866</v>
      </c>
      <c r="F43" s="20">
        <f t="shared" si="16"/>
        <v>-394449.0384615385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s="12" customFormat="1" ht="13.8" x14ac:dyDescent="0.3">
      <c r="A44" s="19">
        <f t="shared" si="17"/>
        <v>3000</v>
      </c>
      <c r="B44" s="20">
        <f t="shared" si="18"/>
        <v>582500</v>
      </c>
      <c r="C44" s="20">
        <f t="shared" si="13"/>
        <v>221260.71428571426</v>
      </c>
      <c r="D44" s="24">
        <f t="shared" si="14"/>
        <v>803760.71428571432</v>
      </c>
      <c r="E44" s="19">
        <f t="shared" si="15"/>
        <v>597362.63736263732</v>
      </c>
      <c r="F44" s="20">
        <f t="shared" si="16"/>
        <v>-206398.07692307699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2"/>
      <c r="V44" s="42"/>
      <c r="W44" s="41"/>
      <c r="X44" s="41"/>
      <c r="Y44" s="41"/>
      <c r="Z44" s="41"/>
      <c r="AA44" s="41"/>
    </row>
    <row r="45" spans="1:27" s="12" customFormat="1" ht="13.8" x14ac:dyDescent="0.3">
      <c r="A45" s="19">
        <f t="shared" si="17"/>
        <v>4500</v>
      </c>
      <c r="B45" s="20">
        <f t="shared" si="18"/>
        <v>582500</v>
      </c>
      <c r="C45" s="20">
        <f t="shared" si="13"/>
        <v>331891.07142857136</v>
      </c>
      <c r="D45" s="24">
        <f t="shared" si="14"/>
        <v>914391.07142857136</v>
      </c>
      <c r="E45" s="19">
        <f t="shared" si="15"/>
        <v>896043.9560439561</v>
      </c>
      <c r="F45" s="20">
        <f t="shared" si="16"/>
        <v>-18347.115384615259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42"/>
      <c r="V45" s="42"/>
      <c r="W45" s="41"/>
      <c r="X45" s="41"/>
      <c r="Y45" s="41"/>
      <c r="Z45" s="41"/>
      <c r="AA45" s="41"/>
    </row>
    <row r="46" spans="1:27" s="12" customFormat="1" ht="13.8" x14ac:dyDescent="0.3">
      <c r="A46" s="19">
        <f t="shared" si="17"/>
        <v>6000</v>
      </c>
      <c r="B46" s="20">
        <f t="shared" si="18"/>
        <v>582500</v>
      </c>
      <c r="C46" s="20">
        <f t="shared" si="13"/>
        <v>442521.42857142852</v>
      </c>
      <c r="D46" s="24">
        <f t="shared" si="14"/>
        <v>1025021.4285714285</v>
      </c>
      <c r="E46" s="19">
        <f t="shared" si="15"/>
        <v>1194725.2747252746</v>
      </c>
      <c r="F46" s="20">
        <f t="shared" si="16"/>
        <v>169703.84615384613</v>
      </c>
      <c r="G46" s="54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42"/>
      <c r="V46" s="42"/>
      <c r="W46" s="41"/>
      <c r="X46" s="41"/>
      <c r="Y46" s="41"/>
      <c r="Z46" s="41"/>
      <c r="AA46" s="41"/>
    </row>
    <row r="47" spans="1:27" s="12" customFormat="1" ht="13.8" x14ac:dyDescent="0.3">
      <c r="A47" s="19">
        <f t="shared" si="17"/>
        <v>7500</v>
      </c>
      <c r="B47" s="20">
        <f t="shared" si="18"/>
        <v>582500</v>
      </c>
      <c r="C47" s="20">
        <f t="shared" si="13"/>
        <v>553151.78571428568</v>
      </c>
      <c r="D47" s="24">
        <f t="shared" si="14"/>
        <v>1135651.7857142857</v>
      </c>
      <c r="E47" s="19">
        <f t="shared" si="15"/>
        <v>1493406.5934065934</v>
      </c>
      <c r="F47" s="20">
        <f t="shared" si="16"/>
        <v>357754.80769230775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42"/>
      <c r="V47" s="42"/>
      <c r="W47" s="41"/>
      <c r="X47" s="41"/>
      <c r="Y47" s="41"/>
      <c r="Z47" s="41"/>
      <c r="AA47" s="41"/>
    </row>
    <row r="48" spans="1:27" s="12" customFormat="1" ht="13.8" x14ac:dyDescent="0.3">
      <c r="A48" s="19">
        <f t="shared" si="17"/>
        <v>9000</v>
      </c>
      <c r="B48" s="20">
        <f t="shared" si="18"/>
        <v>582500</v>
      </c>
      <c r="C48" s="20">
        <f t="shared" si="13"/>
        <v>663782.14285714272</v>
      </c>
      <c r="D48" s="24">
        <f t="shared" si="14"/>
        <v>1246282.1428571427</v>
      </c>
      <c r="E48" s="19">
        <f t="shared" si="15"/>
        <v>1792087.9120879122</v>
      </c>
      <c r="F48" s="20">
        <f t="shared" si="16"/>
        <v>545805.76923076948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  <c r="U48" s="42"/>
      <c r="V48" s="42"/>
      <c r="W48" s="41"/>
      <c r="X48" s="41"/>
      <c r="Y48" s="41"/>
      <c r="Z48" s="41"/>
      <c r="AA48" s="41"/>
    </row>
    <row r="49" spans="1:27" s="12" customFormat="1" ht="13.8" x14ac:dyDescent="0.3">
      <c r="A49" s="19">
        <f t="shared" si="17"/>
        <v>10500</v>
      </c>
      <c r="B49" s="20">
        <f t="shared" si="18"/>
        <v>582500</v>
      </c>
      <c r="C49" s="20">
        <f t="shared" si="13"/>
        <v>774412.49999999988</v>
      </c>
      <c r="D49" s="24">
        <f t="shared" si="14"/>
        <v>1356912.5</v>
      </c>
      <c r="E49" s="19">
        <f t="shared" si="15"/>
        <v>2090769.2307692308</v>
      </c>
      <c r="F49" s="20">
        <f t="shared" si="16"/>
        <v>733856.73076923075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2"/>
      <c r="U49" s="42"/>
      <c r="V49" s="42"/>
      <c r="W49" s="41"/>
      <c r="X49" s="41"/>
      <c r="Y49" s="41"/>
      <c r="Z49" s="41"/>
      <c r="AA49" s="41"/>
    </row>
    <row r="50" spans="1:27" s="12" customFormat="1" ht="13.8" x14ac:dyDescent="0.3">
      <c r="A50" s="19">
        <f t="shared" si="17"/>
        <v>12000</v>
      </c>
      <c r="B50" s="20">
        <f t="shared" si="18"/>
        <v>582500</v>
      </c>
      <c r="C50" s="20">
        <f t="shared" si="13"/>
        <v>885042.85714285704</v>
      </c>
      <c r="D50" s="24">
        <f t="shared" si="14"/>
        <v>1467542.857142857</v>
      </c>
      <c r="E50" s="19">
        <f t="shared" si="15"/>
        <v>2389450.5494505493</v>
      </c>
      <c r="F50" s="20">
        <f t="shared" si="16"/>
        <v>921907.69230769225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1"/>
      <c r="X50" s="41"/>
      <c r="Y50" s="41"/>
      <c r="Z50" s="41"/>
      <c r="AA50" s="41"/>
    </row>
    <row r="51" spans="1:27" s="12" customFormat="1" ht="13.8" x14ac:dyDescent="0.3">
      <c r="A51" s="19">
        <f t="shared" si="17"/>
        <v>13500</v>
      </c>
      <c r="B51" s="20">
        <f t="shared" si="18"/>
        <v>582500</v>
      </c>
      <c r="C51" s="20">
        <f t="shared" si="13"/>
        <v>995673.2142857142</v>
      </c>
      <c r="D51" s="24">
        <f t="shared" si="14"/>
        <v>1578173.2142857141</v>
      </c>
      <c r="E51" s="19">
        <f t="shared" si="15"/>
        <v>2688131.8681318681</v>
      </c>
      <c r="F51" s="20">
        <f t="shared" si="16"/>
        <v>1109958.653846154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42"/>
      <c r="V51" s="42"/>
      <c r="W51" s="41"/>
      <c r="X51" s="41"/>
      <c r="Y51" s="41"/>
      <c r="Z51" s="41"/>
      <c r="AA51" s="41"/>
    </row>
    <row r="52" spans="1:27" s="12" customFormat="1" ht="13.8" x14ac:dyDescent="0.3">
      <c r="A52" s="19">
        <f t="shared" si="17"/>
        <v>15000</v>
      </c>
      <c r="B52" s="20">
        <f t="shared" si="18"/>
        <v>582500</v>
      </c>
      <c r="C52" s="20">
        <f t="shared" si="13"/>
        <v>1106303.5714285714</v>
      </c>
      <c r="D52" s="24">
        <f t="shared" si="14"/>
        <v>1688803.5714285714</v>
      </c>
      <c r="E52" s="19">
        <f t="shared" si="15"/>
        <v>2986813.1868131869</v>
      </c>
      <c r="F52" s="20">
        <f t="shared" si="16"/>
        <v>1298009.6153846155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2"/>
      <c r="V52" s="42"/>
      <c r="W52" s="41"/>
      <c r="X52" s="41"/>
      <c r="Y52" s="41"/>
      <c r="Z52" s="41"/>
      <c r="AA52" s="41"/>
    </row>
    <row r="53" spans="1:27" s="12" customFormat="1" ht="13.8" x14ac:dyDescent="0.3">
      <c r="A53" s="41"/>
      <c r="B53" s="41"/>
      <c r="C53" s="41"/>
      <c r="D53" s="4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5"/>
      <c r="AA53" s="55"/>
    </row>
    <row r="54" spans="1:27" s="12" customFormat="1" ht="13.8" x14ac:dyDescent="0.3">
      <c r="A54" s="4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55"/>
      <c r="AA54" s="55"/>
    </row>
    <row r="55" spans="1:27" s="12" customFormat="1" x14ac:dyDescent="0.3">
      <c r="A55" s="43"/>
      <c r="B55" s="44" t="s">
        <v>30</v>
      </c>
      <c r="C55" s="45">
        <f>SUMPRODUCT(C4:C25,K4:K25)</f>
        <v>925184.67711362429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5"/>
      <c r="AA55" s="55"/>
    </row>
    <row r="56" spans="1:27" s="12" customFormat="1" x14ac:dyDescent="0.3">
      <c r="A56" s="41"/>
      <c r="B56" s="44" t="s">
        <v>2</v>
      </c>
      <c r="C56" s="45">
        <f>G36/N26</f>
        <v>4646.3468883741625</v>
      </c>
      <c r="D56" s="4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55"/>
      <c r="AA56" s="55"/>
    </row>
    <row r="57" spans="1:27" s="12" customFormat="1" ht="13.8" x14ac:dyDescent="0.3">
      <c r="A57" s="41"/>
      <c r="B57" s="41"/>
      <c r="C57" s="41"/>
      <c r="D57" s="4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5"/>
      <c r="AA57" s="55"/>
    </row>
    <row r="58" spans="1:27" s="12" customFormat="1" ht="13.8" x14ac:dyDescent="0.3">
      <c r="A58" s="41"/>
      <c r="C58" s="41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55"/>
      <c r="AA58" s="55"/>
    </row>
    <row r="59" spans="1:27" s="12" customFormat="1" x14ac:dyDescent="0.3">
      <c r="A59" s="66" t="s">
        <v>52</v>
      </c>
      <c r="B59" s="41"/>
      <c r="C59" s="41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5"/>
      <c r="AA59" s="55"/>
    </row>
  </sheetData>
  <sheetProtection algorithmName="SHA-512" hashValue="YXySo96prO0KHNjULV8Isbdjt7pl4xcdcFhDVGUFAafzrRd6EXJtegYoSvvtJTmURVEJ50WcQjJDf/7YzIk1Jg==" saltValue="nkI3hc6h19WpFa3YZr0Omw==" spinCount="100000" sheet="1" objects="1" scenarios="1" formatCells="0" formatColumns="0" formatRows="0" autoFilter="0"/>
  <mergeCells count="49">
    <mergeCell ref="G31:H31"/>
    <mergeCell ref="M2:N2"/>
    <mergeCell ref="G28:H28"/>
    <mergeCell ref="G29:H29"/>
    <mergeCell ref="O2:P2"/>
    <mergeCell ref="J2:L2"/>
    <mergeCell ref="G30:H30"/>
    <mergeCell ref="F2:H2"/>
    <mergeCell ref="A35:D35"/>
    <mergeCell ref="A32:D32"/>
    <mergeCell ref="A33:D33"/>
    <mergeCell ref="A34:D34"/>
    <mergeCell ref="A28:D28"/>
    <mergeCell ref="A29:D29"/>
    <mergeCell ref="A30:D30"/>
    <mergeCell ref="A31:D31"/>
    <mergeCell ref="G32:H32"/>
    <mergeCell ref="G33:H33"/>
    <mergeCell ref="G36:H36"/>
    <mergeCell ref="G34:H34"/>
    <mergeCell ref="G35:H35"/>
    <mergeCell ref="A2:B2"/>
    <mergeCell ref="Q2:S2"/>
    <mergeCell ref="D2:D3"/>
    <mergeCell ref="E2:E3"/>
    <mergeCell ref="A3:B3"/>
    <mergeCell ref="A12:B12"/>
    <mergeCell ref="A13:B13"/>
    <mergeCell ref="A4:B4"/>
    <mergeCell ref="A5:B5"/>
    <mergeCell ref="A6:B6"/>
    <mergeCell ref="A7:B7"/>
    <mergeCell ref="A8:B8"/>
    <mergeCell ref="A24:B24"/>
    <mergeCell ref="A25:B25"/>
    <mergeCell ref="A1:H1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</mergeCells>
  <conditionalFormatting sqref="I3:O3">
    <cfRule type="containsText" dxfId="2" priority="3" operator="containsText" text="վատ">
      <formula>NOT(ISERROR(SEARCH("վատ",I3)))</formula>
    </cfRule>
  </conditionalFormatting>
  <dataValidations count="1">
    <dataValidation type="list" allowBlank="1" showInputMessage="1" showErrorMessage="1" sqref="I3" xr:uid="{1B3A3087-A24A-4D68-BBAE-F582852B362E}">
      <formula1>"լավ, միջ, վատ"</formula1>
    </dataValidation>
  </dataValidations>
  <hyperlinks>
    <hyperlink ref="A59" r:id="rId1" xr:uid="{3AE353EE-9E6B-4B9B-AF41-58DF67BF2129}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B19F79A1-D1E8-48B2-9807-3EABBC9F54DD}">
            <xm:f>NOT(ISERROR(SEARCH($H$3,I3)))</xm:f>
            <xm:f>$H$3</xm:f>
            <x14:dxf>
              <fill>
                <patternFill>
                  <bgColor rgb="FFCCFFCC"/>
                </patternFill>
              </fill>
            </x14:dxf>
          </x14:cfRule>
          <x14:cfRule type="containsText" priority="10" operator="containsText" id="{117C7144-99C1-40DF-B7C1-C0F68839C82A}">
            <xm:f>NOT(ISERROR(SEARCH($G$3,I3)))</xm:f>
            <xm:f>$G$3</xm:f>
            <x14:dxf>
              <fill>
                <patternFill>
                  <bgColor theme="7" tint="0.59996337778862885"/>
                </patternFill>
              </fill>
            </x14:dxf>
          </x14:cfRule>
          <xm:sqref>I3:O3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87CE1F64A71418C6A3621C5B2BE0C" ma:contentTypeVersion="13" ma:contentTypeDescription="Create a new document." ma:contentTypeScope="" ma:versionID="aad344980f2c68dfb8ff5854d0788f57">
  <xsd:schema xmlns:xsd="http://www.w3.org/2001/XMLSchema" xmlns:xs="http://www.w3.org/2001/XMLSchema" xmlns:p="http://schemas.microsoft.com/office/2006/metadata/properties" xmlns:ns3="c2f3481a-48e3-40c8-8f85-060ca24ca6f5" xmlns:ns4="a007eb4f-0c91-4564-8c8e-07c080c575fc" targetNamespace="http://schemas.microsoft.com/office/2006/metadata/properties" ma:root="true" ma:fieldsID="f205501b74a81fe4b1044523efe3b4da" ns3:_="" ns4:_="">
    <xsd:import namespace="c2f3481a-48e3-40c8-8f85-060ca24ca6f5"/>
    <xsd:import namespace="a007eb4f-0c91-4564-8c8e-07c080c575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3481a-48e3-40c8-8f85-060ca24ca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7eb4f-0c91-4564-8c8e-07c080c57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948A8-3367-40F6-9BA0-FEFC22251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54593-39AC-4D6D-9086-A153D659902C}">
  <ds:schemaRefs>
    <ds:schemaRef ds:uri="http://www.w3.org/XML/1998/namespace"/>
    <ds:schemaRef ds:uri="a007eb4f-0c91-4564-8c8e-07c080c575fc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c2f3481a-48e3-40c8-8f85-060ca24ca6f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2CC187-331D-421E-8571-479CFB4CF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3481a-48e3-40c8-8f85-060ca24ca6f5"/>
    <ds:schemaRef ds:uri="a007eb4f-0c91-4564-8c8e-07c080c57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Break-Even Point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2020-12-19T13:19:58Z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0x01010005987CE1F64A71418C6A3621C5B2BE0C</vt:lpwstr>
  </property>
</Properties>
</file>